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C:\Users\user\Desktop\Geneva_Kanambwe\"/>
    </mc:Choice>
  </mc:AlternateContent>
  <xr:revisionPtr revIDLastSave="0" documentId="13_ncr:1_{2FEBD97A-73CE-4A26-854A-5CE946ED02A9}" xr6:coauthVersionLast="36" xr6:coauthVersionMax="36" xr10:uidLastSave="{00000000-0000-0000-0000-000000000000}"/>
  <bookViews>
    <workbookView xWindow="0" yWindow="0" windowWidth="9390" windowHeight="5955" tabRatio="690" firstSheet="1" activeTab="1" xr2:uid="{00000000-000D-0000-FFFF-FFFF00000000}"/>
  </bookViews>
  <sheets>
    <sheet name="BOQ" sheetId="4" state="hidden" r:id="rId1"/>
    <sheet name="BOQ KANEMBWE_ALL PHASES" sheetId="38" r:id="rId2"/>
    <sheet name="Sources" sheetId="37" state="hidden" r:id="rId3"/>
    <sheet name="SUMMARY" sheetId="36" state="hidden" r:id="rId4"/>
    <sheet name="CASING" sheetId="26" state="hidden" r:id="rId5"/>
    <sheet name="rehabilitation" sheetId="32" state="hidden" r:id="rId6"/>
    <sheet name="COLLECTION&amp;STARTING" sheetId="33" state="hidden" r:id="rId7"/>
    <sheet name="WATER KIOSK" sheetId="34" state="hidden" r:id="rId8"/>
    <sheet name="BFK_REHABILITATION" sheetId="35" state="hidden" r:id="rId9"/>
    <sheet name="25m3-constr-BOQ" sheetId="20" state="hidden" r:id="rId10"/>
    <sheet name="50m3-constr-BOQ" sheetId="13" state="hidden" r:id="rId11"/>
    <sheet name="100m3-constr" sheetId="12" state="hidden" r:id="rId12"/>
    <sheet name="125m3-constr-BOQ" sheetId="11" state="hidden" r:id="rId13"/>
    <sheet name="200m3-constr-BOQ" sheetId="10" state="hidden" r:id="rId14"/>
    <sheet name="400m3-constr-BOQ" sheetId="9" state="hidden" r:id="rId15"/>
    <sheet name="500m3-constr-BOQ" sheetId="8" state="hidden" r:id="rId16"/>
    <sheet name="PUMPING STATION" sheetId="22" state="hidden" r:id="rId17"/>
  </sheets>
  <calcPr calcId="191029"/>
</workbook>
</file>

<file path=xl/calcChain.xml><?xml version="1.0" encoding="utf-8"?>
<calcChain xmlns="http://schemas.openxmlformats.org/spreadsheetml/2006/main">
  <c r="G157" i="38" l="1"/>
  <c r="D147" i="38" l="1"/>
  <c r="D146" i="38"/>
  <c r="D142" i="38"/>
  <c r="D148" i="38" s="1"/>
  <c r="D140" i="38"/>
  <c r="D138" i="38"/>
  <c r="D131" i="38"/>
  <c r="D122" i="38"/>
  <c r="D119" i="38"/>
  <c r="D115" i="38"/>
  <c r="D137" i="38" s="1"/>
  <c r="D114" i="38"/>
  <c r="D113" i="38"/>
  <c r="D112" i="38"/>
  <c r="D111" i="38"/>
  <c r="D109" i="38"/>
  <c r="D99" i="38"/>
  <c r="D98" i="38"/>
  <c r="D97" i="38"/>
  <c r="D96" i="38"/>
  <c r="D95" i="38"/>
  <c r="D94" i="38"/>
  <c r="D92" i="38"/>
  <c r="D93" i="38" s="1"/>
  <c r="D91" i="38"/>
  <c r="G86" i="38"/>
  <c r="G77" i="38"/>
  <c r="G66" i="38"/>
  <c r="G129" i="38" l="1"/>
  <c r="G152" i="38"/>
  <c r="G87" i="38"/>
  <c r="F87" i="38" s="1"/>
  <c r="G116" i="38"/>
  <c r="D118" i="38"/>
  <c r="G120" i="38" s="1"/>
  <c r="D145" i="38"/>
  <c r="G149" i="38" s="1"/>
  <c r="G103" i="38"/>
  <c r="G104" i="38" s="1"/>
  <c r="D46" i="38"/>
  <c r="D45" i="38"/>
  <c r="D37" i="38"/>
  <c r="F202" i="4"/>
  <c r="F201" i="4"/>
  <c r="D199" i="4"/>
  <c r="F199" i="4" s="1"/>
  <c r="D198" i="4"/>
  <c r="F198" i="4" s="1"/>
  <c r="F195" i="4"/>
  <c r="D194" i="4"/>
  <c r="D200" i="4" s="1"/>
  <c r="F200" i="4" s="1"/>
  <c r="F193" i="4"/>
  <c r="D192" i="4"/>
  <c r="F192" i="4" s="1"/>
  <c r="D190" i="4"/>
  <c r="F190" i="4" s="1"/>
  <c r="F187" i="4"/>
  <c r="F186" i="4"/>
  <c r="F185" i="4"/>
  <c r="D183" i="4"/>
  <c r="F183" i="4" s="1"/>
  <c r="F181" i="4"/>
  <c r="F180" i="4"/>
  <c r="F179" i="4"/>
  <c r="F178" i="4"/>
  <c r="F177" i="4"/>
  <c r="D175" i="4"/>
  <c r="F175" i="4" s="1"/>
  <c r="D173" i="4"/>
  <c r="F173" i="4" s="1"/>
  <c r="D170" i="4"/>
  <c r="D189" i="4" s="1"/>
  <c r="F189" i="4" s="1"/>
  <c r="D169" i="4"/>
  <c r="F169" i="4" s="1"/>
  <c r="D168" i="4"/>
  <c r="F168" i="4" s="1"/>
  <c r="D167" i="4"/>
  <c r="F167" i="4" s="1"/>
  <c r="D166" i="4"/>
  <c r="F166" i="4" s="1"/>
  <c r="D164" i="4"/>
  <c r="F164" i="4" s="1"/>
  <c r="D37" i="4"/>
  <c r="D21" i="4" s="1"/>
  <c r="F140" i="4"/>
  <c r="F327" i="37"/>
  <c r="F326" i="37"/>
  <c r="F325" i="37"/>
  <c r="F324" i="37"/>
  <c r="F323" i="37"/>
  <c r="F322" i="37"/>
  <c r="F321" i="37"/>
  <c r="F320" i="37"/>
  <c r="F319" i="37"/>
  <c r="F318" i="37"/>
  <c r="D317" i="37"/>
  <c r="F317" i="37" s="1"/>
  <c r="D308" i="37"/>
  <c r="F308" i="37" s="1"/>
  <c r="D307" i="37"/>
  <c r="F307" i="37" s="1"/>
  <c r="D305" i="37"/>
  <c r="F305" i="37" s="1"/>
  <c r="D304" i="37"/>
  <c r="F304" i="37" s="1"/>
  <c r="D303" i="37"/>
  <c r="F303" i="37" s="1"/>
  <c r="D302" i="37"/>
  <c r="F302" i="37" s="1"/>
  <c r="F301" i="37"/>
  <c r="D300" i="37"/>
  <c r="F300" i="37" s="1"/>
  <c r="D299" i="37"/>
  <c r="D298" i="37"/>
  <c r="F298" i="37" s="1"/>
  <c r="D292" i="37"/>
  <c r="F292" i="37" s="1"/>
  <c r="D291" i="37"/>
  <c r="F291" i="37" s="1"/>
  <c r="D289" i="37"/>
  <c r="F289" i="37" s="1"/>
  <c r="D288" i="37"/>
  <c r="F288" i="37" s="1"/>
  <c r="D287" i="37"/>
  <c r="F287" i="37" s="1"/>
  <c r="D286" i="37"/>
  <c r="F286" i="37" s="1"/>
  <c r="F285" i="37"/>
  <c r="D284" i="37"/>
  <c r="F284" i="37" s="1"/>
  <c r="D283" i="37"/>
  <c r="F283" i="37" s="1"/>
  <c r="F282" i="37"/>
  <c r="D282" i="37"/>
  <c r="D293" i="37" s="1"/>
  <c r="F293" i="37" s="1"/>
  <c r="D276" i="37"/>
  <c r="F276" i="37" s="1"/>
  <c r="D275" i="37"/>
  <c r="F275" i="37" s="1"/>
  <c r="F273" i="37"/>
  <c r="D273" i="37"/>
  <c r="D272" i="37"/>
  <c r="F272" i="37" s="1"/>
  <c r="D271" i="37"/>
  <c r="F271" i="37" s="1"/>
  <c r="D270" i="37"/>
  <c r="F270" i="37" s="1"/>
  <c r="F269" i="37"/>
  <c r="D268" i="37"/>
  <c r="F268" i="37" s="1"/>
  <c r="D267" i="37"/>
  <c r="F267" i="37" s="1"/>
  <c r="D266" i="37"/>
  <c r="D277" i="37" s="1"/>
  <c r="F277" i="37" s="1"/>
  <c r="D260" i="37"/>
  <c r="F260" i="37" s="1"/>
  <c r="D259" i="37"/>
  <c r="F259" i="37" s="1"/>
  <c r="D257" i="37"/>
  <c r="F257" i="37" s="1"/>
  <c r="D256" i="37"/>
  <c r="F256" i="37" s="1"/>
  <c r="F255" i="37"/>
  <c r="D255" i="37"/>
  <c r="D254" i="37"/>
  <c r="F254" i="37" s="1"/>
  <c r="F253" i="37"/>
  <c r="D252" i="37"/>
  <c r="F252" i="37" s="1"/>
  <c r="D251" i="37"/>
  <c r="F251" i="37" s="1"/>
  <c r="D250" i="37"/>
  <c r="D244" i="37"/>
  <c r="F244" i="37" s="1"/>
  <c r="D243" i="37"/>
  <c r="F243" i="37" s="1"/>
  <c r="D241" i="37"/>
  <c r="F241" i="37" s="1"/>
  <c r="D240" i="37"/>
  <c r="F240" i="37" s="1"/>
  <c r="D239" i="37"/>
  <c r="F239" i="37" s="1"/>
  <c r="D238" i="37"/>
  <c r="F238" i="37" s="1"/>
  <c r="F237" i="37"/>
  <c r="D236" i="37"/>
  <c r="F236" i="37" s="1"/>
  <c r="D235" i="37"/>
  <c r="F235" i="37" s="1"/>
  <c r="D234" i="37"/>
  <c r="F234" i="37" s="1"/>
  <c r="D228" i="37"/>
  <c r="F228" i="37" s="1"/>
  <c r="D227" i="37"/>
  <c r="F227" i="37" s="1"/>
  <c r="D225" i="37"/>
  <c r="F225" i="37" s="1"/>
  <c r="F224" i="37"/>
  <c r="D224" i="37"/>
  <c r="D223" i="37"/>
  <c r="F223" i="37" s="1"/>
  <c r="D222" i="37"/>
  <c r="F222" i="37" s="1"/>
  <c r="F221" i="37"/>
  <c r="D220" i="37"/>
  <c r="F220" i="37" s="1"/>
  <c r="D219" i="37"/>
  <c r="F219" i="37" s="1"/>
  <c r="D218" i="37"/>
  <c r="D229" i="37" s="1"/>
  <c r="F229" i="37" s="1"/>
  <c r="D210" i="37"/>
  <c r="F210" i="37" s="1"/>
  <c r="D209" i="37"/>
  <c r="F209" i="37" s="1"/>
  <c r="D207" i="37"/>
  <c r="F207" i="37" s="1"/>
  <c r="D206" i="37"/>
  <c r="F206" i="37" s="1"/>
  <c r="D205" i="37"/>
  <c r="F205" i="37" s="1"/>
  <c r="F204" i="37"/>
  <c r="D204" i="37"/>
  <c r="F203" i="37"/>
  <c r="D202" i="37"/>
  <c r="F202" i="37" s="1"/>
  <c r="D201" i="37"/>
  <c r="F201" i="37" s="1"/>
  <c r="D200" i="37"/>
  <c r="F200" i="37" s="1"/>
  <c r="D199" i="37"/>
  <c r="D211" i="37" s="1"/>
  <c r="F211" i="37" s="1"/>
  <c r="D192" i="37"/>
  <c r="F192" i="37" s="1"/>
  <c r="D191" i="37"/>
  <c r="F191" i="37" s="1"/>
  <c r="D190" i="37"/>
  <c r="F190" i="37" s="1"/>
  <c r="D188" i="37"/>
  <c r="F188" i="37" s="1"/>
  <c r="D187" i="37"/>
  <c r="F187" i="37" s="1"/>
  <c r="D186" i="37"/>
  <c r="F186" i="37" s="1"/>
  <c r="D185" i="37"/>
  <c r="F185" i="37" s="1"/>
  <c r="F184" i="37"/>
  <c r="D183" i="37"/>
  <c r="F183" i="37" s="1"/>
  <c r="D182" i="37"/>
  <c r="F182" i="37" s="1"/>
  <c r="D181" i="37"/>
  <c r="F181" i="37" s="1"/>
  <c r="D180" i="37"/>
  <c r="F180" i="37" s="1"/>
  <c r="D172" i="37"/>
  <c r="F172" i="37" s="1"/>
  <c r="D171" i="37"/>
  <c r="F171" i="37" s="1"/>
  <c r="D169" i="37"/>
  <c r="F169" i="37" s="1"/>
  <c r="D168" i="37"/>
  <c r="F168" i="37" s="1"/>
  <c r="D167" i="37"/>
  <c r="F167" i="37" s="1"/>
  <c r="D166" i="37"/>
  <c r="F166" i="37" s="1"/>
  <c r="F165" i="37"/>
  <c r="D164" i="37"/>
  <c r="F164" i="37" s="1"/>
  <c r="D163" i="37"/>
  <c r="F163" i="37" s="1"/>
  <c r="D162" i="37"/>
  <c r="D161" i="37"/>
  <c r="F161" i="37" s="1"/>
  <c r="D154" i="37"/>
  <c r="F154" i="37" s="1"/>
  <c r="D153" i="37"/>
  <c r="F153" i="37" s="1"/>
  <c r="D151" i="37"/>
  <c r="F151" i="37" s="1"/>
  <c r="D150" i="37"/>
  <c r="F150" i="37" s="1"/>
  <c r="D149" i="37"/>
  <c r="F149" i="37" s="1"/>
  <c r="D148" i="37"/>
  <c r="F148" i="37" s="1"/>
  <c r="F147" i="37"/>
  <c r="D146" i="37"/>
  <c r="F146" i="37" s="1"/>
  <c r="D145" i="37"/>
  <c r="F145" i="37" s="1"/>
  <c r="D144" i="37"/>
  <c r="F144" i="37" s="1"/>
  <c r="D143" i="37"/>
  <c r="F143" i="37" s="1"/>
  <c r="F136" i="37"/>
  <c r="D136" i="37"/>
  <c r="D135" i="37"/>
  <c r="F135" i="37" s="1"/>
  <c r="D133" i="37"/>
  <c r="F133" i="37" s="1"/>
  <c r="D132" i="37"/>
  <c r="F132" i="37" s="1"/>
  <c r="D131" i="37"/>
  <c r="F131" i="37" s="1"/>
  <c r="D130" i="37"/>
  <c r="F130" i="37" s="1"/>
  <c r="F129" i="37"/>
  <c r="D128" i="37"/>
  <c r="F128" i="37" s="1"/>
  <c r="D127" i="37"/>
  <c r="F127" i="37" s="1"/>
  <c r="D126" i="37"/>
  <c r="F126" i="37" s="1"/>
  <c r="D125" i="37"/>
  <c r="D119" i="37"/>
  <c r="F119" i="37" s="1"/>
  <c r="D118" i="37"/>
  <c r="F118" i="37" s="1"/>
  <c r="D116" i="37"/>
  <c r="F116" i="37" s="1"/>
  <c r="D115" i="37"/>
  <c r="F115" i="37" s="1"/>
  <c r="D114" i="37"/>
  <c r="F114" i="37" s="1"/>
  <c r="D113" i="37"/>
  <c r="F113" i="37" s="1"/>
  <c r="F112" i="37"/>
  <c r="D111" i="37"/>
  <c r="F111" i="37" s="1"/>
  <c r="D110" i="37"/>
  <c r="F110" i="37" s="1"/>
  <c r="D109" i="37"/>
  <c r="D108" i="37"/>
  <c r="F108" i="37" s="1"/>
  <c r="D102" i="37"/>
  <c r="F102" i="37" s="1"/>
  <c r="D101" i="37"/>
  <c r="F101" i="37" s="1"/>
  <c r="D99" i="37"/>
  <c r="F99" i="37" s="1"/>
  <c r="D98" i="37"/>
  <c r="F98" i="37" s="1"/>
  <c r="D97" i="37"/>
  <c r="F97" i="37" s="1"/>
  <c r="D96" i="37"/>
  <c r="F96" i="37" s="1"/>
  <c r="F95" i="37"/>
  <c r="D94" i="37"/>
  <c r="F94" i="37" s="1"/>
  <c r="D93" i="37"/>
  <c r="F93" i="37" s="1"/>
  <c r="D92" i="37"/>
  <c r="F92" i="37" s="1"/>
  <c r="D91" i="37"/>
  <c r="D103" i="37" s="1"/>
  <c r="F103" i="37" s="1"/>
  <c r="D85" i="37"/>
  <c r="F85" i="37" s="1"/>
  <c r="F84" i="37"/>
  <c r="D84" i="37"/>
  <c r="D82" i="37"/>
  <c r="F82" i="37" s="1"/>
  <c r="D81" i="37"/>
  <c r="F81" i="37" s="1"/>
  <c r="D80" i="37"/>
  <c r="F80" i="37" s="1"/>
  <c r="D79" i="37"/>
  <c r="F79" i="37" s="1"/>
  <c r="F78" i="37"/>
  <c r="D77" i="37"/>
  <c r="F77" i="37" s="1"/>
  <c r="D76" i="37"/>
  <c r="F76" i="37" s="1"/>
  <c r="D75" i="37"/>
  <c r="D74" i="37"/>
  <c r="D67" i="37"/>
  <c r="F67" i="37" s="1"/>
  <c r="D66" i="37"/>
  <c r="F66" i="37" s="1"/>
  <c r="D65" i="37"/>
  <c r="F65" i="37" s="1"/>
  <c r="D63" i="37"/>
  <c r="F63" i="37" s="1"/>
  <c r="D62" i="37"/>
  <c r="F62" i="37" s="1"/>
  <c r="D61" i="37"/>
  <c r="F61" i="37" s="1"/>
  <c r="D60" i="37"/>
  <c r="F60" i="37" s="1"/>
  <c r="F59" i="37"/>
  <c r="D56" i="37"/>
  <c r="D58" i="37" s="1"/>
  <c r="F58" i="37" s="1"/>
  <c r="F50" i="37"/>
  <c r="D49" i="37"/>
  <c r="F49" i="37" s="1"/>
  <c r="D48" i="37"/>
  <c r="F48" i="37" s="1"/>
  <c r="D47" i="37"/>
  <c r="F47" i="37" s="1"/>
  <c r="D45" i="37"/>
  <c r="F45" i="37" s="1"/>
  <c r="D44" i="37"/>
  <c r="F44" i="37" s="1"/>
  <c r="D43" i="37"/>
  <c r="F43" i="37" s="1"/>
  <c r="D42" i="37"/>
  <c r="F42" i="37" s="1"/>
  <c r="F41" i="37"/>
  <c r="D41" i="37"/>
  <c r="D40" i="37"/>
  <c r="F40" i="37" s="1"/>
  <c r="D39" i="37"/>
  <c r="F39" i="37" s="1"/>
  <c r="D38" i="37"/>
  <c r="D50" i="37" s="1"/>
  <c r="D31" i="37"/>
  <c r="F31" i="37" s="1"/>
  <c r="D30" i="37"/>
  <c r="F30" i="37" s="1"/>
  <c r="D28" i="37"/>
  <c r="F28" i="37" s="1"/>
  <c r="D27" i="37"/>
  <c r="F27" i="37" s="1"/>
  <c r="F26" i="37"/>
  <c r="D26" i="37"/>
  <c r="D25" i="37"/>
  <c r="F25" i="37" s="1"/>
  <c r="F24" i="37"/>
  <c r="D23" i="37"/>
  <c r="F23" i="37" s="1"/>
  <c r="D22" i="37"/>
  <c r="F22" i="37" s="1"/>
  <c r="D21" i="37"/>
  <c r="D20" i="37"/>
  <c r="D13" i="37"/>
  <c r="F13" i="37" s="1"/>
  <c r="D12" i="37"/>
  <c r="F12" i="37" s="1"/>
  <c r="D11" i="37"/>
  <c r="F11" i="37" s="1"/>
  <c r="D9" i="37"/>
  <c r="F9" i="37" s="1"/>
  <c r="D8" i="37"/>
  <c r="F8" i="37" s="1"/>
  <c r="D7" i="37"/>
  <c r="F7" i="37" s="1"/>
  <c r="D6" i="37"/>
  <c r="F6" i="37" s="1"/>
  <c r="D5" i="37"/>
  <c r="F5" i="37" s="1"/>
  <c r="D4" i="37"/>
  <c r="F4" i="37" s="1"/>
  <c r="D3" i="37"/>
  <c r="F3" i="37" s="1"/>
  <c r="D2" i="37"/>
  <c r="F2" i="37" s="1"/>
  <c r="F103" i="38" l="1"/>
  <c r="F104" i="38" s="1"/>
  <c r="G153" i="38"/>
  <c r="F154" i="38" s="1"/>
  <c r="G154" i="38" s="1"/>
  <c r="F47" i="38"/>
  <c r="G47" i="38" s="1"/>
  <c r="D245" i="37"/>
  <c r="F245" i="37" s="1"/>
  <c r="D309" i="37"/>
  <c r="F309" i="37" s="1"/>
  <c r="D155" i="37"/>
  <c r="F155" i="37" s="1"/>
  <c r="D258" i="37"/>
  <c r="F258" i="37" s="1"/>
  <c r="F91" i="37"/>
  <c r="D306" i="37"/>
  <c r="F306" i="37" s="1"/>
  <c r="D68" i="37"/>
  <c r="F68" i="37" s="1"/>
  <c r="F266" i="37"/>
  <c r="F38" i="37"/>
  <c r="F56" i="37"/>
  <c r="D170" i="37"/>
  <c r="F170" i="37" s="1"/>
  <c r="F299" i="37"/>
  <c r="D46" i="37"/>
  <c r="F46" i="37" s="1"/>
  <c r="D57" i="37"/>
  <c r="F57" i="37" s="1"/>
  <c r="D36" i="38"/>
  <c r="D35" i="38"/>
  <c r="D35" i="4"/>
  <c r="F35" i="4" s="1"/>
  <c r="F170" i="4"/>
  <c r="D197" i="4"/>
  <c r="F197" i="4" s="1"/>
  <c r="D172" i="4"/>
  <c r="F172" i="4" s="1"/>
  <c r="F194" i="4"/>
  <c r="D36" i="4"/>
  <c r="F36" i="4" s="1"/>
  <c r="F310" i="37"/>
  <c r="F311" i="37" s="1"/>
  <c r="D117" i="37"/>
  <c r="F117" i="37" s="1"/>
  <c r="F109" i="37"/>
  <c r="D152" i="37"/>
  <c r="F152" i="37" s="1"/>
  <c r="F156" i="37" s="1"/>
  <c r="F158" i="37" s="1"/>
  <c r="F20" i="37"/>
  <c r="D32" i="37"/>
  <c r="F32" i="37" s="1"/>
  <c r="D29" i="37"/>
  <c r="F29" i="37" s="1"/>
  <c r="F21" i="37"/>
  <c r="F51" i="37"/>
  <c r="F53" i="37" s="1"/>
  <c r="D86" i="37"/>
  <c r="F86" i="37" s="1"/>
  <c r="F74" i="37"/>
  <c r="D137" i="37"/>
  <c r="F137" i="37" s="1"/>
  <c r="F125" i="37"/>
  <c r="D10" i="37"/>
  <c r="F10" i="37" s="1"/>
  <c r="D14" i="37"/>
  <c r="F14" i="37" s="1"/>
  <c r="F75" i="37"/>
  <c r="D83" i="37"/>
  <c r="F83" i="37" s="1"/>
  <c r="D100" i="37"/>
  <c r="F100" i="37" s="1"/>
  <c r="F104" i="37" s="1"/>
  <c r="F105" i="37" s="1"/>
  <c r="D274" i="37"/>
  <c r="F274" i="37" s="1"/>
  <c r="D328" i="37"/>
  <c r="F328" i="37" s="1"/>
  <c r="F329" i="37" s="1"/>
  <c r="F330" i="37" s="1"/>
  <c r="D120" i="37"/>
  <c r="F120" i="37" s="1"/>
  <c r="D134" i="37"/>
  <c r="F134" i="37" s="1"/>
  <c r="F162" i="37"/>
  <c r="D173" i="37"/>
  <c r="F173" i="37" s="1"/>
  <c r="F199" i="37"/>
  <c r="D208" i="37"/>
  <c r="F208" i="37" s="1"/>
  <c r="D226" i="37"/>
  <c r="F226" i="37" s="1"/>
  <c r="F250" i="37"/>
  <c r="D261" i="37"/>
  <c r="F261" i="37" s="1"/>
  <c r="D290" i="37"/>
  <c r="F290" i="37" s="1"/>
  <c r="F294" i="37" s="1"/>
  <c r="F295" i="37" s="1"/>
  <c r="D189" i="37"/>
  <c r="F189" i="37" s="1"/>
  <c r="F193" i="37" s="1"/>
  <c r="F195" i="37" s="1"/>
  <c r="D242" i="37"/>
  <c r="F242" i="37" s="1"/>
  <c r="F246" i="37" s="1"/>
  <c r="F247" i="37" s="1"/>
  <c r="F218" i="37"/>
  <c r="F230" i="37" s="1"/>
  <c r="F231" i="37" s="1"/>
  <c r="F174" i="37" l="1"/>
  <c r="F176" i="37" s="1"/>
  <c r="F278" i="37"/>
  <c r="F279" i="37" s="1"/>
  <c r="F38" i="38"/>
  <c r="G38" i="38" s="1"/>
  <c r="F15" i="37"/>
  <c r="F17" i="37" s="1"/>
  <c r="F121" i="37"/>
  <c r="F262" i="37"/>
  <c r="F263" i="37" s="1"/>
  <c r="D64" i="37"/>
  <c r="F64" i="37" s="1"/>
  <c r="F69" i="37" s="1"/>
  <c r="F71" i="37" s="1"/>
  <c r="F212" i="37"/>
  <c r="F203" i="4"/>
  <c r="F204" i="4" s="1"/>
  <c r="F205" i="4" s="1"/>
  <c r="F138" i="37"/>
  <c r="F139" i="37" s="1"/>
  <c r="F33" i="37"/>
  <c r="F35" i="37" s="1"/>
  <c r="F87" i="37"/>
  <c r="F88" i="37" s="1"/>
  <c r="F23" i="38" l="1"/>
  <c r="G23" i="38" s="1"/>
  <c r="D46" i="4"/>
  <c r="D45" i="4"/>
  <c r="F139" i="4"/>
  <c r="D138" i="4"/>
  <c r="F138" i="4" s="1"/>
  <c r="D137" i="4"/>
  <c r="F137" i="4" s="1"/>
  <c r="D135" i="4"/>
  <c r="D136" i="4" s="1"/>
  <c r="F136" i="4" s="1"/>
  <c r="D134" i="4"/>
  <c r="F134" i="4" s="1"/>
  <c r="D133" i="4"/>
  <c r="F133" i="4" s="1"/>
  <c r="F131" i="4"/>
  <c r="D130" i="4"/>
  <c r="F130" i="4" s="1"/>
  <c r="D129" i="4"/>
  <c r="F129" i="4" s="1"/>
  <c r="D128" i="4"/>
  <c r="F128" i="4" s="1"/>
  <c r="D127" i="4"/>
  <c r="F127" i="4" s="1"/>
  <c r="D126" i="4"/>
  <c r="F126" i="4" s="1"/>
  <c r="D125" i="4"/>
  <c r="F125" i="4" s="1"/>
  <c r="D124" i="4"/>
  <c r="F124" i="4" s="1"/>
  <c r="D123" i="4"/>
  <c r="F123" i="4" s="1"/>
  <c r="F121" i="4"/>
  <c r="F120" i="4"/>
  <c r="F119" i="4"/>
  <c r="D118" i="4"/>
  <c r="F118" i="4" s="1"/>
  <c r="D117" i="4"/>
  <c r="F117" i="4" s="1"/>
  <c r="D116" i="4"/>
  <c r="F116" i="4" s="1"/>
  <c r="D115" i="4"/>
  <c r="F115" i="4" s="1"/>
  <c r="D114" i="4"/>
  <c r="F114" i="4" s="1"/>
  <c r="D113" i="4"/>
  <c r="F113" i="4" s="1"/>
  <c r="D112" i="4"/>
  <c r="F112" i="4" s="1"/>
  <c r="D111" i="4"/>
  <c r="F111" i="4" s="1"/>
  <c r="D110" i="4"/>
  <c r="F110" i="4" s="1"/>
  <c r="F98" i="4"/>
  <c r="F97" i="4"/>
  <c r="F96" i="4"/>
  <c r="D95" i="4"/>
  <c r="F95" i="4" s="1"/>
  <c r="D94" i="4"/>
  <c r="F94" i="4" s="1"/>
  <c r="D93" i="4"/>
  <c r="F93" i="4" s="1"/>
  <c r="D92" i="4"/>
  <c r="F92" i="4" s="1"/>
  <c r="D91" i="4"/>
  <c r="F91" i="4" s="1"/>
  <c r="D90" i="4"/>
  <c r="F90" i="4" s="1"/>
  <c r="D89" i="4"/>
  <c r="F89" i="4" s="1"/>
  <c r="D88" i="4"/>
  <c r="F88" i="4" s="1"/>
  <c r="F158" i="4"/>
  <c r="F157" i="4"/>
  <c r="F156" i="4"/>
  <c r="D155" i="4"/>
  <c r="F155" i="4" s="1"/>
  <c r="D154" i="4"/>
  <c r="F154" i="4" s="1"/>
  <c r="D153" i="4"/>
  <c r="F153" i="4" s="1"/>
  <c r="D152" i="4"/>
  <c r="F152" i="4" s="1"/>
  <c r="D151" i="4"/>
  <c r="F151" i="4" s="1"/>
  <c r="D150" i="4"/>
  <c r="F150" i="4" s="1"/>
  <c r="D148" i="4"/>
  <c r="D149" i="4" s="1"/>
  <c r="F149" i="4" s="1"/>
  <c r="D147" i="4"/>
  <c r="F147" i="4" s="1"/>
  <c r="F82" i="4"/>
  <c r="F81" i="4"/>
  <c r="F80" i="4"/>
  <c r="F79" i="4"/>
  <c r="D78" i="4"/>
  <c r="F78" i="4" s="1"/>
  <c r="D77" i="4"/>
  <c r="F77" i="4" s="1"/>
  <c r="D76" i="4"/>
  <c r="F76" i="4" s="1"/>
  <c r="D75" i="4"/>
  <c r="F75" i="4" s="1"/>
  <c r="D74" i="4"/>
  <c r="F74" i="4" s="1"/>
  <c r="D73" i="4"/>
  <c r="F73" i="4" s="1"/>
  <c r="D72" i="4"/>
  <c r="F72" i="4" s="1"/>
  <c r="D71" i="4"/>
  <c r="F71" i="4" s="1"/>
  <c r="D70" i="4"/>
  <c r="F70" i="4" s="1"/>
  <c r="F65" i="4"/>
  <c r="F64" i="4"/>
  <c r="F63" i="4"/>
  <c r="D62" i="4"/>
  <c r="F62" i="4" s="1"/>
  <c r="D61" i="4"/>
  <c r="F61" i="4" s="1"/>
  <c r="D60" i="4"/>
  <c r="F60" i="4" s="1"/>
  <c r="D59" i="4"/>
  <c r="F59" i="4" s="1"/>
  <c r="D58" i="4"/>
  <c r="F58" i="4" s="1"/>
  <c r="D57" i="4"/>
  <c r="F57" i="4" s="1"/>
  <c r="D56" i="4"/>
  <c r="F56" i="4" s="1"/>
  <c r="D55" i="4"/>
  <c r="F55" i="4" s="1"/>
  <c r="D54" i="4"/>
  <c r="F54" i="4" s="1"/>
  <c r="F157" i="38" l="1"/>
  <c r="G158" i="38"/>
  <c r="F37" i="4"/>
  <c r="F38" i="4" s="1"/>
  <c r="F21" i="4"/>
  <c r="E20" i="4" s="1"/>
  <c r="F20" i="4" s="1"/>
  <c r="F23" i="4" s="1"/>
  <c r="F135" i="4"/>
  <c r="F141" i="4" s="1"/>
  <c r="F148" i="4"/>
  <c r="F159" i="4" s="1"/>
  <c r="F160" i="4" s="1"/>
  <c r="F207" i="4" s="1"/>
  <c r="F83" i="4"/>
  <c r="F66" i="4"/>
  <c r="F67" i="4" s="1"/>
  <c r="F158" i="38" l="1"/>
  <c r="F209" i="4"/>
  <c r="F159" i="38" l="1"/>
  <c r="G159" i="38" s="1"/>
  <c r="F16" i="35"/>
  <c r="F15" i="35"/>
  <c r="F13" i="35"/>
  <c r="F12" i="35"/>
  <c r="F9" i="35"/>
  <c r="D8" i="35"/>
  <c r="D14" i="35" s="1"/>
  <c r="F14" i="35" s="1"/>
  <c r="F7" i="35"/>
  <c r="D6" i="35"/>
  <c r="D11" i="35" s="1"/>
  <c r="F11" i="35" s="1"/>
  <c r="F4" i="35"/>
  <c r="F8" i="35" l="1"/>
  <c r="F6" i="35"/>
  <c r="F17" i="35" s="1"/>
  <c r="F18" i="35" s="1"/>
  <c r="F42" i="34"/>
  <c r="F41" i="34"/>
  <c r="D39" i="34"/>
  <c r="F39" i="34" s="1"/>
  <c r="D38" i="34"/>
  <c r="F38" i="34" s="1"/>
  <c r="F35" i="34"/>
  <c r="D34" i="34"/>
  <c r="D40" i="34" s="1"/>
  <c r="F40" i="34" s="1"/>
  <c r="F33" i="34"/>
  <c r="D32" i="34"/>
  <c r="D37" i="34" s="1"/>
  <c r="F37" i="34" s="1"/>
  <c r="D30" i="34"/>
  <c r="F30" i="34" s="1"/>
  <c r="F27" i="34"/>
  <c r="F26" i="34"/>
  <c r="F25" i="34"/>
  <c r="D23" i="34"/>
  <c r="F23" i="34" s="1"/>
  <c r="F21" i="34"/>
  <c r="F20" i="34"/>
  <c r="F19" i="34"/>
  <c r="F18" i="34"/>
  <c r="F17" i="34"/>
  <c r="D15" i="34"/>
  <c r="F15" i="34" s="1"/>
  <c r="D13" i="34"/>
  <c r="F13" i="34" s="1"/>
  <c r="D10" i="34"/>
  <c r="D29" i="34" s="1"/>
  <c r="F29" i="34" s="1"/>
  <c r="D9" i="34"/>
  <c r="F9" i="34" s="1"/>
  <c r="D8" i="34"/>
  <c r="F8" i="34" s="1"/>
  <c r="D7" i="34"/>
  <c r="F7" i="34" s="1"/>
  <c r="D6" i="34"/>
  <c r="F6" i="34" s="1"/>
  <c r="D4" i="34"/>
  <c r="F4" i="34" s="1"/>
  <c r="F10" i="34" l="1"/>
  <c r="D12" i="34"/>
  <c r="F12" i="34" s="1"/>
  <c r="F32" i="34"/>
  <c r="F34" i="34"/>
  <c r="F43" i="34" l="1"/>
  <c r="F44" i="34"/>
  <c r="F45" i="34" s="1"/>
  <c r="F37" i="33"/>
  <c r="F36" i="33"/>
  <c r="F35" i="33"/>
  <c r="F34" i="33"/>
  <c r="D33" i="33"/>
  <c r="F33" i="33" s="1"/>
  <c r="D32" i="33"/>
  <c r="F32" i="33" s="1"/>
  <c r="D31" i="33"/>
  <c r="F31" i="33" s="1"/>
  <c r="D30" i="33"/>
  <c r="F30" i="33" s="1"/>
  <c r="D29" i="33"/>
  <c r="F29" i="33" s="1"/>
  <c r="D28" i="33"/>
  <c r="F28" i="33" s="1"/>
  <c r="D27" i="33"/>
  <c r="F27" i="33" s="1"/>
  <c r="D26" i="33"/>
  <c r="F26" i="33" s="1"/>
  <c r="D25" i="33"/>
  <c r="F25" i="33" s="1"/>
  <c r="D24" i="33"/>
  <c r="F24" i="33" s="1"/>
  <c r="D23" i="33"/>
  <c r="F23" i="33" s="1"/>
  <c r="F17" i="33"/>
  <c r="F16" i="33"/>
  <c r="F15" i="33"/>
  <c r="F14" i="33"/>
  <c r="F13" i="33"/>
  <c r="F12" i="33"/>
  <c r="F11" i="33"/>
  <c r="F10" i="33"/>
  <c r="F9" i="33"/>
  <c r="F8" i="33"/>
  <c r="F7" i="33"/>
  <c r="F6" i="33"/>
  <c r="F5" i="33"/>
  <c r="F4" i="33"/>
  <c r="F18" i="33" l="1"/>
  <c r="F19" i="33" s="1"/>
  <c r="F38" i="33"/>
  <c r="F39" i="33" s="1"/>
  <c r="F111" i="32"/>
  <c r="F110" i="32"/>
  <c r="F109" i="32"/>
  <c r="F108" i="32"/>
  <c r="F107" i="32"/>
  <c r="F102" i="32"/>
  <c r="F101" i="32"/>
  <c r="F100" i="32"/>
  <c r="F99" i="32"/>
  <c r="F98" i="32"/>
  <c r="F97" i="32"/>
  <c r="F96" i="32"/>
  <c r="F95" i="32"/>
  <c r="F94" i="32"/>
  <c r="F93" i="32"/>
  <c r="F92" i="32"/>
  <c r="F87" i="32"/>
  <c r="F86" i="32"/>
  <c r="F85" i="32"/>
  <c r="F84" i="32"/>
  <c r="F83" i="32"/>
  <c r="F82" i="32"/>
  <c r="F81" i="32"/>
  <c r="F80" i="32"/>
  <c r="F79" i="32"/>
  <c r="F78" i="32"/>
  <c r="F88" i="32" s="1"/>
  <c r="F89" i="32" s="1"/>
  <c r="F77" i="32"/>
  <c r="F71" i="32"/>
  <c r="F70" i="32"/>
  <c r="F69" i="32"/>
  <c r="F68" i="32"/>
  <c r="F67" i="32"/>
  <c r="F66" i="32"/>
  <c r="F65" i="32"/>
  <c r="F64" i="32"/>
  <c r="F63" i="32"/>
  <c r="F62" i="32"/>
  <c r="F61" i="32"/>
  <c r="F56" i="32"/>
  <c r="F55" i="32"/>
  <c r="F54" i="32"/>
  <c r="F53" i="32"/>
  <c r="F52" i="32"/>
  <c r="F51" i="32"/>
  <c r="F50" i="32"/>
  <c r="F49" i="32"/>
  <c r="F57" i="32" s="1"/>
  <c r="F58" i="32" s="1"/>
  <c r="F48" i="32"/>
  <c r="F47" i="32"/>
  <c r="F46" i="32"/>
  <c r="F41" i="32"/>
  <c r="F40" i="32"/>
  <c r="F39" i="32"/>
  <c r="F38" i="32"/>
  <c r="F37" i="32"/>
  <c r="F36" i="32"/>
  <c r="F35" i="32"/>
  <c r="F34" i="32"/>
  <c r="F28" i="32"/>
  <c r="F27" i="32"/>
  <c r="F26" i="32"/>
  <c r="F25" i="32"/>
  <c r="F24" i="32"/>
  <c r="F23" i="32"/>
  <c r="F22" i="32"/>
  <c r="F21" i="32"/>
  <c r="F20" i="32"/>
  <c r="F29" i="32" s="1"/>
  <c r="F30" i="32" s="1"/>
  <c r="F15" i="32"/>
  <c r="F14" i="32"/>
  <c r="F13" i="32"/>
  <c r="F12" i="32"/>
  <c r="F11" i="32"/>
  <c r="F10" i="32"/>
  <c r="F9" i="32"/>
  <c r="F8" i="32"/>
  <c r="F7" i="32"/>
  <c r="F6" i="32"/>
  <c r="F5" i="32"/>
  <c r="F4" i="32"/>
  <c r="F3" i="32"/>
  <c r="F72" i="32" l="1"/>
  <c r="F73" i="32" s="1"/>
  <c r="F103" i="32"/>
  <c r="F104" i="32" s="1"/>
  <c r="F42" i="32"/>
  <c r="F43" i="32" s="1"/>
  <c r="F112" i="32"/>
  <c r="F113" i="32" s="1"/>
  <c r="F16" i="32"/>
  <c r="F17" i="32" s="1"/>
  <c r="F7" i="26" l="1"/>
  <c r="F42" i="4" l="1"/>
  <c r="F43" i="4"/>
  <c r="F44" i="4"/>
  <c r="F8" i="26"/>
  <c r="F9" i="26"/>
  <c r="F10" i="26"/>
  <c r="F11" i="26"/>
  <c r="F12" i="26"/>
  <c r="F13" i="26"/>
  <c r="F14" i="26"/>
  <c r="F15" i="26"/>
  <c r="F6" i="26"/>
  <c r="F41" i="4" l="1"/>
  <c r="F201" i="22" l="1"/>
  <c r="F200" i="22"/>
  <c r="F199" i="22"/>
  <c r="F198" i="22"/>
  <c r="F197" i="22"/>
  <c r="F196" i="22"/>
  <c r="F195" i="22"/>
  <c r="F194" i="22"/>
  <c r="F193" i="22"/>
  <c r="F192" i="22"/>
  <c r="F191" i="22"/>
  <c r="F190" i="22"/>
  <c r="F189" i="22"/>
  <c r="F188" i="22"/>
  <c r="F187" i="22"/>
  <c r="F186" i="22"/>
  <c r="D184" i="22"/>
  <c r="F184" i="22" s="1"/>
  <c r="E183" i="22"/>
  <c r="F183" i="22" s="1"/>
  <c r="E182" i="22"/>
  <c r="F182" i="22" s="1"/>
  <c r="D181" i="22"/>
  <c r="F181" i="22" s="1"/>
  <c r="D180" i="22"/>
  <c r="F180" i="22" s="1"/>
  <c r="D179" i="22"/>
  <c r="F179" i="22" s="1"/>
  <c r="D178" i="22"/>
  <c r="F178" i="22" s="1"/>
  <c r="F177" i="22"/>
  <c r="D176" i="22"/>
  <c r="F176" i="22" s="1"/>
  <c r="D175" i="22"/>
  <c r="F175" i="22" s="1"/>
  <c r="D174" i="22"/>
  <c r="F174" i="22" s="1"/>
  <c r="D173" i="22"/>
  <c r="F173" i="22" s="1"/>
  <c r="D172" i="22"/>
  <c r="F172" i="22" s="1"/>
  <c r="D171" i="22"/>
  <c r="F171" i="22" s="1"/>
  <c r="D170" i="22"/>
  <c r="F170" i="22" s="1"/>
  <c r="D169" i="22"/>
  <c r="F169" i="22" s="1"/>
  <c r="D168" i="22"/>
  <c r="F168" i="22" s="1"/>
  <c r="D167" i="22"/>
  <c r="F167" i="22" s="1"/>
  <c r="D166" i="22"/>
  <c r="F166" i="22" s="1"/>
  <c r="D165" i="22"/>
  <c r="F165" i="22" s="1"/>
  <c r="D164" i="22"/>
  <c r="F164" i="22" s="1"/>
  <c r="D163" i="22"/>
  <c r="F163" i="22" s="1"/>
  <c r="D162" i="22"/>
  <c r="F162" i="22" s="1"/>
  <c r="D161" i="22"/>
  <c r="F161" i="22" s="1"/>
  <c r="D160" i="22"/>
  <c r="F160" i="22" s="1"/>
  <c r="D159" i="22"/>
  <c r="F159" i="22" s="1"/>
  <c r="F153" i="22"/>
  <c r="D152" i="22"/>
  <c r="F152" i="22" s="1"/>
  <c r="D151" i="22"/>
  <c r="F151" i="22" s="1"/>
  <c r="D150" i="22"/>
  <c r="F150" i="22" s="1"/>
  <c r="D149" i="22"/>
  <c r="F149" i="22" s="1"/>
  <c r="D148" i="22"/>
  <c r="F148" i="22" s="1"/>
  <c r="D147" i="22"/>
  <c r="F147" i="22" s="1"/>
  <c r="D146" i="22"/>
  <c r="F146" i="22" s="1"/>
  <c r="D145" i="22"/>
  <c r="F145" i="22" s="1"/>
  <c r="F144" i="22"/>
  <c r="F143" i="22"/>
  <c r="D142" i="22"/>
  <c r="F142" i="22" s="1"/>
  <c r="D141" i="22"/>
  <c r="F141" i="22" s="1"/>
  <c r="D140" i="22"/>
  <c r="F140" i="22" s="1"/>
  <c r="F139" i="22"/>
  <c r="D138" i="22"/>
  <c r="F138" i="22" s="1"/>
  <c r="D137" i="22"/>
  <c r="F137" i="22" s="1"/>
  <c r="D136" i="22"/>
  <c r="F136" i="22" s="1"/>
  <c r="D135" i="22"/>
  <c r="F135" i="22" s="1"/>
  <c r="D134" i="22"/>
  <c r="F134" i="22" s="1"/>
  <c r="D133" i="22"/>
  <c r="F133" i="22" s="1"/>
  <c r="D132" i="22"/>
  <c r="F132" i="22" s="1"/>
  <c r="D131" i="22"/>
  <c r="F131" i="22" s="1"/>
  <c r="D130" i="22"/>
  <c r="F130" i="22" s="1"/>
  <c r="F123" i="22"/>
  <c r="F122" i="22"/>
  <c r="D121" i="22"/>
  <c r="F121" i="22" s="1"/>
  <c r="D120" i="22"/>
  <c r="F120" i="22" s="1"/>
  <c r="D119" i="22"/>
  <c r="F119" i="22" s="1"/>
  <c r="D118" i="22"/>
  <c r="F118" i="22" s="1"/>
  <c r="D117" i="22"/>
  <c r="F117" i="22" s="1"/>
  <c r="D116" i="22"/>
  <c r="F116" i="22" s="1"/>
  <c r="D115" i="22"/>
  <c r="F115" i="22" s="1"/>
  <c r="D114" i="22"/>
  <c r="F114" i="22" s="1"/>
  <c r="E113" i="22"/>
  <c r="F113" i="22" s="1"/>
  <c r="E112" i="22"/>
  <c r="F112" i="22" s="1"/>
  <c r="D111" i="22"/>
  <c r="F111" i="22" s="1"/>
  <c r="D110" i="22"/>
  <c r="F110" i="22" s="1"/>
  <c r="D109" i="22"/>
  <c r="F109" i="22" s="1"/>
  <c r="F108" i="22"/>
  <c r="D107" i="22"/>
  <c r="F107" i="22" s="1"/>
  <c r="D106" i="22"/>
  <c r="F106" i="22" s="1"/>
  <c r="D105" i="22"/>
  <c r="F105" i="22" s="1"/>
  <c r="D104" i="22"/>
  <c r="F104" i="22" s="1"/>
  <c r="D103" i="22"/>
  <c r="F103" i="22" s="1"/>
  <c r="D102" i="22"/>
  <c r="F102" i="22" s="1"/>
  <c r="D101" i="22"/>
  <c r="F101" i="22" s="1"/>
  <c r="D100" i="22"/>
  <c r="F100" i="22" s="1"/>
  <c r="D99" i="22"/>
  <c r="F99" i="22" s="1"/>
  <c r="F91" i="22"/>
  <c r="F93" i="22" s="1"/>
  <c r="D87" i="22"/>
  <c r="F87" i="22" s="1"/>
  <c r="F86" i="22"/>
  <c r="E85" i="22"/>
  <c r="F85" i="22" s="1"/>
  <c r="D84" i="22"/>
  <c r="F84" i="22" s="1"/>
  <c r="D83" i="22"/>
  <c r="F83" i="22" s="1"/>
  <c r="F82" i="22"/>
  <c r="F81" i="22"/>
  <c r="F80" i="22"/>
  <c r="F79" i="22"/>
  <c r="F78" i="22"/>
  <c r="D77" i="22"/>
  <c r="F77" i="22" s="1"/>
  <c r="E76" i="22"/>
  <c r="D76" i="22"/>
  <c r="F75" i="22"/>
  <c r="D75" i="22"/>
  <c r="D74" i="22"/>
  <c r="F74" i="22" s="1"/>
  <c r="F73" i="22"/>
  <c r="D72" i="22"/>
  <c r="F72" i="22" s="1"/>
  <c r="F71" i="22"/>
  <c r="D70" i="22"/>
  <c r="F70" i="22" s="1"/>
  <c r="D69" i="22"/>
  <c r="F69" i="22" s="1"/>
  <c r="D68" i="22"/>
  <c r="F68" i="22" s="1"/>
  <c r="D67" i="22"/>
  <c r="F67" i="22" s="1"/>
  <c r="D66" i="22"/>
  <c r="F66" i="22" s="1"/>
  <c r="D65" i="22"/>
  <c r="F65" i="22" s="1"/>
  <c r="D64" i="22"/>
  <c r="F64" i="22" s="1"/>
  <c r="D63" i="22"/>
  <c r="F63" i="22" s="1"/>
  <c r="D62" i="22"/>
  <c r="F62" i="22" s="1"/>
  <c r="D61" i="22"/>
  <c r="F61" i="22" s="1"/>
  <c r="D60" i="22"/>
  <c r="F60" i="22" s="1"/>
  <c r="D59" i="22"/>
  <c r="F59" i="22" s="1"/>
  <c r="D58" i="22"/>
  <c r="F58" i="22" s="1"/>
  <c r="D57" i="22"/>
  <c r="F57" i="22" s="1"/>
  <c r="D56" i="22"/>
  <c r="F56" i="22" s="1"/>
  <c r="D55" i="22"/>
  <c r="F55" i="22" s="1"/>
  <c r="D54" i="22"/>
  <c r="F54" i="22" s="1"/>
  <c r="F53" i="22"/>
  <c r="D52" i="22"/>
  <c r="F52" i="22" s="1"/>
  <c r="E45" i="22"/>
  <c r="F45" i="22" s="1"/>
  <c r="F44" i="22"/>
  <c r="F43" i="22"/>
  <c r="D42" i="22"/>
  <c r="F42" i="22" s="1"/>
  <c r="D41" i="22"/>
  <c r="F41" i="22" s="1"/>
  <c r="D38" i="22"/>
  <c r="F38" i="22" s="1"/>
  <c r="D37" i="22"/>
  <c r="F37" i="22" s="1"/>
  <c r="F34" i="22"/>
  <c r="F33" i="22"/>
  <c r="F32" i="22"/>
  <c r="F31" i="22"/>
  <c r="F30" i="22"/>
  <c r="F29" i="22"/>
  <c r="F28" i="22"/>
  <c r="F27" i="22"/>
  <c r="F26" i="22"/>
  <c r="F23" i="22"/>
  <c r="F22" i="22"/>
  <c r="F21" i="22"/>
  <c r="F20" i="22"/>
  <c r="F19" i="22"/>
  <c r="F18" i="22"/>
  <c r="F17" i="22"/>
  <c r="F16" i="22"/>
  <c r="F15" i="22"/>
  <c r="F14" i="22"/>
  <c r="F13" i="22"/>
  <c r="F12" i="22"/>
  <c r="F11" i="22"/>
  <c r="F10" i="22"/>
  <c r="F9" i="22"/>
  <c r="F8" i="22"/>
  <c r="F7" i="22"/>
  <c r="F6" i="22"/>
  <c r="D39" i="22" l="1"/>
  <c r="D40" i="22" s="1"/>
  <c r="F40" i="22" s="1"/>
  <c r="F76" i="22"/>
  <c r="F88" i="22" s="1"/>
  <c r="F94" i="22" s="1"/>
  <c r="F39" i="22"/>
  <c r="F46" i="22" s="1"/>
  <c r="F155" i="22"/>
  <c r="F125" i="22"/>
  <c r="F203" i="22"/>
  <c r="F205" i="22" l="1"/>
  <c r="F45" i="4"/>
  <c r="F40" i="13" l="1"/>
  <c r="F39" i="13"/>
  <c r="D38" i="13"/>
  <c r="F38" i="13" s="1"/>
  <c r="D37" i="13"/>
  <c r="F37" i="13" s="1"/>
  <c r="D34" i="13"/>
  <c r="D35" i="13" s="1"/>
  <c r="D33" i="13"/>
  <c r="F33" i="13" s="1"/>
  <c r="F29" i="13"/>
  <c r="F28" i="13"/>
  <c r="D27" i="13"/>
  <c r="F27" i="13" s="1"/>
  <c r="D26" i="13"/>
  <c r="F26" i="13" s="1"/>
  <c r="D25" i="13"/>
  <c r="F25" i="13" s="1"/>
  <c r="D24" i="13"/>
  <c r="F24" i="13" s="1"/>
  <c r="D23" i="13"/>
  <c r="F23" i="13" s="1"/>
  <c r="D22" i="13"/>
  <c r="F22" i="13" s="1"/>
  <c r="D21" i="13"/>
  <c r="F21" i="13" s="1"/>
  <c r="D20" i="13"/>
  <c r="F20" i="13" s="1"/>
  <c r="F16" i="13"/>
  <c r="F15" i="13"/>
  <c r="D14" i="13"/>
  <c r="F14" i="13" s="1"/>
  <c r="D13" i="13"/>
  <c r="F13" i="13" s="1"/>
  <c r="D11" i="13"/>
  <c r="F11" i="13" s="1"/>
  <c r="D10" i="13"/>
  <c r="F10" i="13" s="1"/>
  <c r="D9" i="13"/>
  <c r="F9" i="13" s="1"/>
  <c r="D8" i="13"/>
  <c r="F8" i="13" s="1"/>
  <c r="D7" i="13"/>
  <c r="F7" i="13" s="1"/>
  <c r="D6" i="13"/>
  <c r="F6" i="13" s="1"/>
  <c r="D5" i="13"/>
  <c r="F5" i="13" s="1"/>
  <c r="F43" i="20"/>
  <c r="F42" i="20"/>
  <c r="F41"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F7" i="20"/>
  <c r="F6" i="20"/>
  <c r="F5" i="20"/>
  <c r="F4" i="20"/>
  <c r="F3" i="20"/>
  <c r="D12" i="13" l="1"/>
  <c r="F12" i="13" s="1"/>
  <c r="F37" i="20"/>
  <c r="F38" i="20" s="1"/>
  <c r="F44" i="20"/>
  <c r="F45" i="20" s="1"/>
  <c r="F18" i="13"/>
  <c r="D36" i="13"/>
  <c r="F36" i="13" s="1"/>
  <c r="F35" i="13"/>
  <c r="F31" i="13"/>
  <c r="F34" i="13"/>
  <c r="F41" i="13" s="1"/>
  <c r="F42" i="13" l="1"/>
  <c r="F43" i="13" s="1"/>
  <c r="F99" i="4"/>
  <c r="F100" i="4" s="1"/>
  <c r="F33" i="12" l="1"/>
  <c r="F32" i="12"/>
  <c r="D31" i="12"/>
  <c r="F31" i="12" s="1"/>
  <c r="D30" i="12"/>
  <c r="F30" i="12" s="1"/>
  <c r="D28" i="12"/>
  <c r="D29" i="12" s="1"/>
  <c r="F29" i="12" s="1"/>
  <c r="D27" i="12"/>
  <c r="F27" i="12" s="1"/>
  <c r="D26" i="12"/>
  <c r="F26" i="12" s="1"/>
  <c r="F24" i="12"/>
  <c r="D23" i="12"/>
  <c r="F23" i="12" s="1"/>
  <c r="D22" i="12"/>
  <c r="F22" i="12" s="1"/>
  <c r="D21" i="12"/>
  <c r="F21" i="12" s="1"/>
  <c r="D20" i="12"/>
  <c r="F20" i="12" s="1"/>
  <c r="D19" i="12"/>
  <c r="F19" i="12" s="1"/>
  <c r="D18" i="12"/>
  <c r="F18" i="12" s="1"/>
  <c r="D17" i="12"/>
  <c r="F17" i="12" s="1"/>
  <c r="D16" i="12"/>
  <c r="F16" i="12" s="1"/>
  <c r="F14" i="12"/>
  <c r="F13" i="12"/>
  <c r="F12" i="12"/>
  <c r="D11" i="12"/>
  <c r="F11" i="12" s="1"/>
  <c r="D10" i="12"/>
  <c r="F10" i="12" s="1"/>
  <c r="D9" i="12"/>
  <c r="F9" i="12" s="1"/>
  <c r="D8" i="12"/>
  <c r="F8" i="12" s="1"/>
  <c r="D7" i="12"/>
  <c r="F7" i="12" s="1"/>
  <c r="D6" i="12"/>
  <c r="F6" i="12" s="1"/>
  <c r="D5" i="12"/>
  <c r="F5" i="12" s="1"/>
  <c r="D4" i="12"/>
  <c r="F4" i="12" s="1"/>
  <c r="D3" i="12"/>
  <c r="F3" i="12" s="1"/>
  <c r="E38" i="11"/>
  <c r="F38" i="11" s="1"/>
  <c r="F37" i="11"/>
  <c r="F36" i="11"/>
  <c r="F35" i="11"/>
  <c r="D34" i="11"/>
  <c r="F34" i="11" s="1"/>
  <c r="D33" i="11"/>
  <c r="F33" i="11" s="1"/>
  <c r="D30" i="11"/>
  <c r="D31" i="11" s="1"/>
  <c r="D29" i="11"/>
  <c r="F29" i="11" s="1"/>
  <c r="F26" i="11"/>
  <c r="F25" i="11"/>
  <c r="D24" i="11"/>
  <c r="F24" i="11" s="1"/>
  <c r="D23" i="11"/>
  <c r="F23" i="11" s="1"/>
  <c r="D22" i="11"/>
  <c r="F22" i="11" s="1"/>
  <c r="D21" i="11"/>
  <c r="F21" i="11" s="1"/>
  <c r="D20" i="11"/>
  <c r="F20" i="11" s="1"/>
  <c r="D19" i="11"/>
  <c r="F19" i="11" s="1"/>
  <c r="D18" i="11"/>
  <c r="F18" i="11" s="1"/>
  <c r="D17" i="11"/>
  <c r="F17" i="11" s="1"/>
  <c r="F14" i="11"/>
  <c r="F13" i="11"/>
  <c r="D12" i="11"/>
  <c r="F12" i="11" s="1"/>
  <c r="D11" i="11"/>
  <c r="F11" i="11" s="1"/>
  <c r="D9" i="11"/>
  <c r="F9" i="11" s="1"/>
  <c r="D8" i="11"/>
  <c r="F8" i="11" s="1"/>
  <c r="D7" i="11"/>
  <c r="F7" i="11" s="1"/>
  <c r="D6" i="11"/>
  <c r="F6" i="11" s="1"/>
  <c r="D5" i="11"/>
  <c r="F5" i="11" s="1"/>
  <c r="D4" i="11"/>
  <c r="F4" i="11" s="1"/>
  <c r="F3" i="11"/>
  <c r="F33" i="10"/>
  <c r="D32" i="10"/>
  <c r="F32" i="10" s="1"/>
  <c r="D31" i="10"/>
  <c r="F31" i="10" s="1"/>
  <c r="D29" i="10"/>
  <c r="D30" i="10" s="1"/>
  <c r="F30" i="10" s="1"/>
  <c r="D28" i="10"/>
  <c r="F28" i="10" s="1"/>
  <c r="D27" i="10"/>
  <c r="F27" i="10" s="1"/>
  <c r="F25" i="10"/>
  <c r="F24" i="10"/>
  <c r="D23" i="10"/>
  <c r="F23" i="10" s="1"/>
  <c r="D22" i="10"/>
  <c r="F22" i="10" s="1"/>
  <c r="D21" i="10"/>
  <c r="F21" i="10" s="1"/>
  <c r="D20" i="10"/>
  <c r="F20" i="10" s="1"/>
  <c r="D19" i="10"/>
  <c r="F19" i="10" s="1"/>
  <c r="D18" i="10"/>
  <c r="F18" i="10" s="1"/>
  <c r="D17" i="10"/>
  <c r="F17" i="10" s="1"/>
  <c r="D16" i="10"/>
  <c r="F16" i="10" s="1"/>
  <c r="F14" i="10"/>
  <c r="F13" i="10"/>
  <c r="F12" i="10"/>
  <c r="D11" i="10"/>
  <c r="F11" i="10" s="1"/>
  <c r="D10" i="10"/>
  <c r="F10" i="10" s="1"/>
  <c r="D9" i="10"/>
  <c r="F9" i="10" s="1"/>
  <c r="D8" i="10"/>
  <c r="F8" i="10" s="1"/>
  <c r="D7" i="10"/>
  <c r="F7" i="10" s="1"/>
  <c r="D6" i="10"/>
  <c r="F6" i="10" s="1"/>
  <c r="D5" i="10"/>
  <c r="F5" i="10" s="1"/>
  <c r="D4" i="10"/>
  <c r="F4" i="10" s="1"/>
  <c r="D3" i="10"/>
  <c r="F3" i="10" s="1"/>
  <c r="F39" i="9"/>
  <c r="D38" i="9"/>
  <c r="F38" i="9" s="1"/>
  <c r="F37" i="9"/>
  <c r="D37" i="9"/>
  <c r="D34" i="9"/>
  <c r="D35" i="9" s="1"/>
  <c r="D33" i="9"/>
  <c r="F33" i="9" s="1"/>
  <c r="F30" i="9"/>
  <c r="F29" i="9"/>
  <c r="D28" i="9"/>
  <c r="F28" i="9" s="1"/>
  <c r="F27" i="9"/>
  <c r="D26" i="9"/>
  <c r="F26" i="9" s="1"/>
  <c r="F25" i="9"/>
  <c r="D24" i="9"/>
  <c r="F24" i="9" s="1"/>
  <c r="D23" i="9"/>
  <c r="F23" i="9" s="1"/>
  <c r="F22" i="9"/>
  <c r="F20" i="9"/>
  <c r="F19" i="9"/>
  <c r="F18" i="9"/>
  <c r="F17" i="9"/>
  <c r="F16" i="9"/>
  <c r="D15" i="9"/>
  <c r="F15" i="9" s="1"/>
  <c r="D14" i="9"/>
  <c r="F14" i="9" s="1"/>
  <c r="D13" i="9"/>
  <c r="F13" i="9" s="1"/>
  <c r="D12" i="9"/>
  <c r="F12" i="9" s="1"/>
  <c r="D11" i="9"/>
  <c r="F11" i="9" s="1"/>
  <c r="D10" i="9"/>
  <c r="F10" i="9" s="1"/>
  <c r="D9" i="9"/>
  <c r="F9" i="9" s="1"/>
  <c r="D8" i="9"/>
  <c r="F8" i="9" s="1"/>
  <c r="D7" i="9"/>
  <c r="F7" i="9" s="1"/>
  <c r="F6" i="9"/>
  <c r="D6" i="9"/>
  <c r="D5" i="9"/>
  <c r="F5" i="9" s="1"/>
  <c r="D4" i="9"/>
  <c r="F4" i="9" s="1"/>
  <c r="D3" i="9"/>
  <c r="F3" i="9" s="1"/>
  <c r="E44" i="8"/>
  <c r="F44" i="8" s="1"/>
  <c r="F43" i="8"/>
  <c r="F42" i="8"/>
  <c r="F41" i="8"/>
  <c r="F40" i="8"/>
  <c r="F39" i="8"/>
  <c r="F38" i="8"/>
  <c r="F37" i="8"/>
  <c r="F36" i="8"/>
  <c r="F33" i="8"/>
  <c r="F32" i="8"/>
  <c r="F31" i="8"/>
  <c r="F30" i="8"/>
  <c r="F29" i="8"/>
  <c r="F28" i="8"/>
  <c r="F27" i="8"/>
  <c r="F26" i="8"/>
  <c r="F25" i="8"/>
  <c r="F22" i="8"/>
  <c r="F21" i="8"/>
  <c r="F20" i="8"/>
  <c r="F19" i="8"/>
  <c r="F18" i="8"/>
  <c r="F17" i="8"/>
  <c r="F16" i="8"/>
  <c r="F15" i="8"/>
  <c r="F14" i="8"/>
  <c r="F13" i="8"/>
  <c r="F12" i="8"/>
  <c r="F11" i="8"/>
  <c r="F10" i="8"/>
  <c r="F9" i="8"/>
  <c r="F8" i="8"/>
  <c r="F7" i="8"/>
  <c r="F6" i="8"/>
  <c r="F5" i="8"/>
  <c r="F28" i="12" l="1"/>
  <c r="F34" i="12" s="1"/>
  <c r="F35" i="12" s="1"/>
  <c r="F34" i="9"/>
  <c r="F45" i="8"/>
  <c r="F46" i="8" s="1"/>
  <c r="F31" i="11"/>
  <c r="D32" i="11"/>
  <c r="F32" i="11" s="1"/>
  <c r="D36" i="9"/>
  <c r="F36" i="9" s="1"/>
  <c r="F35" i="9"/>
  <c r="F40" i="9" s="1"/>
  <c r="F41" i="9" s="1"/>
  <c r="D10" i="11"/>
  <c r="F10" i="11" s="1"/>
  <c r="F29" i="10"/>
  <c r="F34" i="10" s="1"/>
  <c r="F35" i="10" s="1"/>
  <c r="F30" i="11"/>
  <c r="F39" i="11" l="1"/>
  <c r="F40" i="11" s="1"/>
  <c r="F46" i="4"/>
  <c r="F47" i="4" s="1"/>
  <c r="F84" i="4" l="1"/>
  <c r="F48" i="4" l="1"/>
  <c r="F103" i="4" l="1"/>
  <c r="F212" i="4" l="1"/>
  <c r="F213" i="4" s="1"/>
  <c r="F214" i="4" s="1"/>
</calcChain>
</file>

<file path=xl/sharedStrings.xml><?xml version="1.0" encoding="utf-8"?>
<sst xmlns="http://schemas.openxmlformats.org/spreadsheetml/2006/main" count="3258" uniqueCount="1214">
  <si>
    <t>SUPPLY AND LAYING OF PIPES</t>
  </si>
  <si>
    <t>CIVIL WORKS</t>
  </si>
  <si>
    <t>Detailed Quantity Estimate</t>
  </si>
  <si>
    <t>Item N°</t>
  </si>
  <si>
    <t xml:space="preserve">DESCRIPTION </t>
  </si>
  <si>
    <t>UNIT</t>
  </si>
  <si>
    <t>QTY</t>
  </si>
  <si>
    <t>RATE</t>
  </si>
  <si>
    <t>AMOUNT</t>
  </si>
  <si>
    <t>Km</t>
  </si>
  <si>
    <t>SUBTOTAL DIVISION 1:</t>
  </si>
  <si>
    <t>lm</t>
  </si>
  <si>
    <t xml:space="preserve">The following prices include : </t>
  </si>
  <si>
    <t>SUBTOTAL 3.1:</t>
  </si>
  <si>
    <t>item</t>
  </si>
  <si>
    <t>Pressure test</t>
  </si>
  <si>
    <t>Terracing, digging, cutting, excavation, backfilling, overlay of surplus soil and land remediation, including all acruals</t>
  </si>
  <si>
    <t>Hardcore (stones pitching) of 30 cm with voids full with cement and sand mortar mix of ratio 1 to 10 respectively, saturated with water</t>
  </si>
  <si>
    <t>Blind concrete class C, thickness 5 cm</t>
  </si>
  <si>
    <t>Reinforced concrete for roof slab and beams ,class A</t>
  </si>
  <si>
    <t>Walling with shapened hardcore, fair face and pointing in joints</t>
  </si>
  <si>
    <t>Coating of the internal face of wall of the tank with 3 hydrafuges water proofing coats</t>
  </si>
  <si>
    <t>Plaster on the upper side of roof slab with a rough mortar class B</t>
  </si>
  <si>
    <t>Supply and fix damp proof course between  the roof slab, the wall and the beam of support</t>
  </si>
  <si>
    <t>Supply a portable aluminium ladder, the step=25cm and total length = 3 meter.</t>
  </si>
  <si>
    <t>Coating of the internal side of wall of the inspection chamber with 3 layers of plaster of 300 kg ciment mixture</t>
  </si>
  <si>
    <t>Plaster on upper side of the slab with a rough mortar class B</t>
  </si>
  <si>
    <t>Supply and fix the damp proof course between  the roof slab, the wall and the beam of support</t>
  </si>
  <si>
    <t>Supply and fix of the metallic cover of 60X60X0.3 cm  with a ventilation shaft at the top and the mosquito screen</t>
  </si>
  <si>
    <t>Hydraulic reinforced concrete for the base</t>
  </si>
  <si>
    <t>SUBTOTAL</t>
  </si>
  <si>
    <t xml:space="preserve">Masonry walls in hardcore, with fair face pointed at the joints </t>
  </si>
  <si>
    <t>Coating of the internal face of wall of the inspection chamber with 3 layers of plaster of 300 kg</t>
  </si>
  <si>
    <t>INSPECTION CHAMBERS</t>
  </si>
  <si>
    <t xml:space="preserve">Earthworks cut, fill and evacuation or overlay of the surplus soils, including all accruals </t>
  </si>
  <si>
    <t>Hardcore (stones pitching) of 30 cm with a filling of 1:10  cement sand mortar mix, saturated with water</t>
  </si>
  <si>
    <t>Reinforced concrete for base slab  ,class A</t>
  </si>
  <si>
    <t>Reinforced concrete for roof slab ,class A</t>
  </si>
  <si>
    <t>walls in stones masonry jointed with a mortar of  class D</t>
  </si>
  <si>
    <t>Supply and fix of the metallic cover of 60X60X0.3 cm  with a ventilation shaft at the top and mosquito screen</t>
  </si>
  <si>
    <t>Supply and fix an iron  ladder for interior access embedded in the wall, painted with 3 layers of paint "rust preventive", the step=25cm</t>
  </si>
  <si>
    <t>Washout #(1.6×1.6×1.2m)</t>
  </si>
  <si>
    <t>Hardcore (stones pitching) of 20 cm with a filling of 1:10  cement sand mortar mix, saturated with water</t>
  </si>
  <si>
    <t>Reinforced concrete for base slab and  roof slab ,class A</t>
  </si>
  <si>
    <t>Lateral walls in stones masonry jointed with a mortar of  class D</t>
  </si>
  <si>
    <t>Supply and fix an  iron  ladder for interior access embedded in the wall, painted with 3 layers of rust preventive paint, the step=25cm</t>
  </si>
  <si>
    <t>Hardcore (Stones pitching) of 20 cm with a filling of 1:10  cement sand mortar mix, saturated with water</t>
  </si>
  <si>
    <t>Reinforced concrete class A, for base slab</t>
  </si>
  <si>
    <t>RESERVOIRS</t>
  </si>
  <si>
    <t>REJECTION WORK</t>
  </si>
  <si>
    <t>Coating of walls with 3 layers of plaster of 300 kg cement mixture</t>
  </si>
  <si>
    <t>Reinforced concrete for roof slab  ,class A</t>
  </si>
  <si>
    <t xml:space="preserve">Supply and fix the damp proof course between  the roof slab and the wall </t>
  </si>
  <si>
    <t xml:space="preserve">Supply and fix of the metallic cover of 50X50X0.3 cm  </t>
  </si>
  <si>
    <t>SUBTOTAL DIVISION 4:</t>
  </si>
  <si>
    <t>Site clearance, removal of top vegetable soil, and site leveling or any shaping necessary</t>
  </si>
  <si>
    <t>Earthwork , cut, fill and evacuation or overlay of the surplus soils, including all accruals</t>
  </si>
  <si>
    <t>Supply and fix rolled filitrant river gravel, well washed up to 60 cm height, including all accruals</t>
  </si>
  <si>
    <t>Supply and fix plastic tight  sheet with the top of the gravel folded in 3 layers, including all accruals</t>
  </si>
  <si>
    <t xml:space="preserve">Fill with clay for a tight layer  of 30 cm </t>
  </si>
  <si>
    <t>Fill with fine grained soil to a layer of 15 cm on top of the clay, including all accruals</t>
  </si>
  <si>
    <t>Fill with soils without roots and other organic matter by compacting each time layers of 20 cm up to the level of the original ground, including all accruals</t>
  </si>
  <si>
    <t xml:space="preserve">Excavate a trench of protection of the source up to 80 cm depth. The bottom width 40 cm, including all accruals. </t>
  </si>
  <si>
    <t>Put in place a protective fence of quickset hedge in euphorbiums against animals, including all accruals</t>
  </si>
  <si>
    <t>Plant passparum around the zone of harnessing, including all accruals</t>
  </si>
  <si>
    <t>Lump Sum</t>
  </si>
  <si>
    <t>4.1.2</t>
  </si>
  <si>
    <t xml:space="preserve">Earthwork by cut, fill and evacuation or overlay of the surplus soils, including all accruals </t>
  </si>
  <si>
    <t>Supply and fix of the metallic cover of 80 x 80 x 0,3 cm with a ventilation shaft at the top and a mosquito screen</t>
  </si>
  <si>
    <t>INSPECTION CHAMBER</t>
  </si>
  <si>
    <t>Item</t>
  </si>
  <si>
    <t>m3</t>
  </si>
  <si>
    <t>m2</t>
  </si>
  <si>
    <t>Supply and coating the faces of the tank with 3 layers of "Sikalatex" paint</t>
  </si>
  <si>
    <t>Soakaway pit 1 m3, full of gravel and hardcore (stones pitching)</t>
  </si>
  <si>
    <t>2.1.1</t>
  </si>
  <si>
    <t>2.1.2</t>
  </si>
  <si>
    <t>2.1.3</t>
  </si>
  <si>
    <t>2.1.4</t>
  </si>
  <si>
    <t>2.1.5</t>
  </si>
  <si>
    <t>2.1.6</t>
  </si>
  <si>
    <t>2.1.7</t>
  </si>
  <si>
    <t>2.1.8</t>
  </si>
  <si>
    <t>2.1.9</t>
  </si>
  <si>
    <t>2.1.10</t>
  </si>
  <si>
    <t>2.1.11</t>
  </si>
  <si>
    <t>2.1.12</t>
  </si>
  <si>
    <t>2.1.13</t>
  </si>
  <si>
    <t>SUBTOTAL DIVISION 2.1:</t>
  </si>
  <si>
    <t>4.1.1</t>
  </si>
  <si>
    <t>4.1.1.1</t>
  </si>
  <si>
    <t>4.1.1.2</t>
  </si>
  <si>
    <t>4.1.1.3</t>
  </si>
  <si>
    <t>4.1.1.4</t>
  </si>
  <si>
    <t>4.1.1.5</t>
  </si>
  <si>
    <t>4.1.1.6</t>
  </si>
  <si>
    <t>4.1.1.7</t>
  </si>
  <si>
    <t>4.1.1.8</t>
  </si>
  <si>
    <t>4.1.1.9</t>
  </si>
  <si>
    <t>4.1.1.10</t>
  </si>
  <si>
    <t>4.1.1.11</t>
  </si>
  <si>
    <t>4.1.1.12</t>
  </si>
  <si>
    <t>4.1.2.1</t>
  </si>
  <si>
    <t>4.1.2.2</t>
  </si>
  <si>
    <t>4.1.3</t>
  </si>
  <si>
    <t>4.1.3.1</t>
  </si>
  <si>
    <t>4.1.3.2</t>
  </si>
  <si>
    <t>4.1.3.3</t>
  </si>
  <si>
    <t>4.1.3.4</t>
  </si>
  <si>
    <t>4.1.3.5</t>
  </si>
  <si>
    <t>4.1.3.6</t>
  </si>
  <si>
    <t>4.1.3.7</t>
  </si>
  <si>
    <t>4.1.3.8</t>
  </si>
  <si>
    <t>4.1.3.9</t>
  </si>
  <si>
    <t>4.1.3.10</t>
  </si>
  <si>
    <t>4.1.3.11</t>
  </si>
  <si>
    <t>4.1.3.12</t>
  </si>
  <si>
    <t>4.1.3.13</t>
  </si>
  <si>
    <t>2.2.1</t>
  </si>
  <si>
    <t>2.2.2</t>
  </si>
  <si>
    <t>2.2.3</t>
  </si>
  <si>
    <t>2.2.4</t>
  </si>
  <si>
    <t>2.2.5</t>
  </si>
  <si>
    <t>2.2.6</t>
  </si>
  <si>
    <t>2.2.7</t>
  </si>
  <si>
    <t>2.2.8</t>
  </si>
  <si>
    <t>2.2.9</t>
  </si>
  <si>
    <t>2.2.10</t>
  </si>
  <si>
    <t>2.2.11</t>
  </si>
  <si>
    <t>2.2.12</t>
  </si>
  <si>
    <t>2.2.13</t>
  </si>
  <si>
    <t>SUBTOTAL DIVISION 2.2:</t>
  </si>
  <si>
    <t>4.1.3.14</t>
  </si>
  <si>
    <t>Lump Sump</t>
  </si>
  <si>
    <t xml:space="preserve">Supply and installation of hydraulic equipment and Fittings for connection of 15m3 reservoir </t>
  </si>
  <si>
    <t>Casing with G.S 3" pipes</t>
  </si>
  <si>
    <t>4.2.3</t>
  </si>
  <si>
    <t>4.2.3.1</t>
  </si>
  <si>
    <t>4.2.3.2</t>
  </si>
  <si>
    <t>4.2.3.3</t>
  </si>
  <si>
    <t>4.2.3.4</t>
  </si>
  <si>
    <t>4.2.3.5</t>
  </si>
  <si>
    <t>4.2.3.6</t>
  </si>
  <si>
    <t>4.2.3.7</t>
  </si>
  <si>
    <t>4.2.3.8</t>
  </si>
  <si>
    <t>4.2.3.9</t>
  </si>
  <si>
    <t>4.2.3.10</t>
  </si>
  <si>
    <t>4.2.3.11</t>
  </si>
  <si>
    <t>4.2.3.12</t>
  </si>
  <si>
    <t>4.2.3.13</t>
  </si>
  <si>
    <t>4.2.3.14</t>
  </si>
  <si>
    <t>4.2.3.15</t>
  </si>
  <si>
    <t>4.2.3.16</t>
  </si>
  <si>
    <t>4.2.3.17</t>
  </si>
  <si>
    <t>4.2.3.18</t>
  </si>
  <si>
    <t>4.2.3.19</t>
  </si>
  <si>
    <t>4.2.3.20</t>
  </si>
  <si>
    <t>4.2.3.21</t>
  </si>
  <si>
    <t>4.2.3.22</t>
  </si>
  <si>
    <t>4.2.3.24</t>
  </si>
  <si>
    <t>4.2.3.25</t>
  </si>
  <si>
    <t>4.2.3.26</t>
  </si>
  <si>
    <t>4.2.3.27</t>
  </si>
  <si>
    <t>4.2.3.28</t>
  </si>
  <si>
    <t>4.2.3.29</t>
  </si>
  <si>
    <t>4.2.3.30</t>
  </si>
  <si>
    <t>4.1.4</t>
  </si>
  <si>
    <t>4.1.4.1</t>
  </si>
  <si>
    <t>4.1.4.2</t>
  </si>
  <si>
    <t>4.1.4.3</t>
  </si>
  <si>
    <t>4.1.4.4</t>
  </si>
  <si>
    <t>4.1.4.5</t>
  </si>
  <si>
    <t>4.1.4.6</t>
  </si>
  <si>
    <t>4.1.4.7</t>
  </si>
  <si>
    <t>4.1.4.8</t>
  </si>
  <si>
    <t>4.1.4.9</t>
  </si>
  <si>
    <t>4.1.4.10</t>
  </si>
  <si>
    <t>4.1.4.11</t>
  </si>
  <si>
    <t>4.1.5</t>
  </si>
  <si>
    <t>4.1.5.1</t>
  </si>
  <si>
    <t>4.1.5.2</t>
  </si>
  <si>
    <t>4.1.5.3</t>
  </si>
  <si>
    <t>4.1.5.4</t>
  </si>
  <si>
    <t>4.1.5.5</t>
  </si>
  <si>
    <t>4.1.5.6</t>
  </si>
  <si>
    <t>4.1.5.7</t>
  </si>
  <si>
    <t>4.1.5.8</t>
  </si>
  <si>
    <t>4.1.5.9</t>
  </si>
  <si>
    <t>4.1.5.10</t>
  </si>
  <si>
    <t>TOTAL</t>
  </si>
  <si>
    <t>LS</t>
  </si>
  <si>
    <t>Supply and installation of hydraulic equipment and Fittings for connection of Air release valve</t>
  </si>
  <si>
    <t>Network desinfection with chlorine</t>
  </si>
  <si>
    <t>Lump sum</t>
  </si>
  <si>
    <r>
      <t>m</t>
    </r>
    <r>
      <rPr>
        <vertAlign val="superscript"/>
        <sz val="12"/>
        <rFont val="Times New Roman"/>
        <family val="1"/>
      </rPr>
      <t>2</t>
    </r>
    <r>
      <rPr>
        <sz val="10"/>
        <rFont val="Arial"/>
        <family val="2"/>
      </rPr>
      <t/>
    </r>
  </si>
  <si>
    <r>
      <t>m</t>
    </r>
    <r>
      <rPr>
        <vertAlign val="superscript"/>
        <sz val="12"/>
        <rFont val="Times New Roman"/>
        <family val="1"/>
      </rPr>
      <t>3</t>
    </r>
  </si>
  <si>
    <r>
      <t>Soakaway pit 1 m</t>
    </r>
    <r>
      <rPr>
        <vertAlign val="superscript"/>
        <sz val="12"/>
        <rFont val="Times New Roman"/>
        <family val="1"/>
      </rPr>
      <t>3</t>
    </r>
    <r>
      <rPr>
        <sz val="12"/>
        <rFont val="Times New Roman"/>
        <family val="1"/>
      </rPr>
      <t>, full of gravel and hardcore (stones pitching)</t>
    </r>
  </si>
  <si>
    <t>3.2.1</t>
  </si>
  <si>
    <t>4.1.6</t>
  </si>
  <si>
    <t>4.2.4</t>
  </si>
  <si>
    <t>4.2.4.1</t>
  </si>
  <si>
    <t>4.2.4.2</t>
  </si>
  <si>
    <t>4.2.4.3</t>
  </si>
  <si>
    <t>4.2.4.4</t>
  </si>
  <si>
    <t>4.2.4.5</t>
  </si>
  <si>
    <t>4.2.4.6</t>
  </si>
  <si>
    <t>4.2.4.7</t>
  </si>
  <si>
    <t>4.2.4.8</t>
  </si>
  <si>
    <t>4.2.4.9</t>
  </si>
  <si>
    <t>4.2.4.10</t>
  </si>
  <si>
    <t>4.2.4.11</t>
  </si>
  <si>
    <t>4.2.4.12</t>
  </si>
  <si>
    <t>4.2.4.13</t>
  </si>
  <si>
    <t>4.2.4.14</t>
  </si>
  <si>
    <t>4.2.4.15</t>
  </si>
  <si>
    <t>4.2.4.16</t>
  </si>
  <si>
    <t>4.2.4.17</t>
  </si>
  <si>
    <t>4.2.4.18</t>
  </si>
  <si>
    <t>4.2.4.19</t>
  </si>
  <si>
    <t>4.2.4.20</t>
  </si>
  <si>
    <t>4.2.4.21</t>
  </si>
  <si>
    <t>4.2.4.22</t>
  </si>
  <si>
    <t>4.2.4.23</t>
  </si>
  <si>
    <t>4.2.4.24</t>
  </si>
  <si>
    <t>4.2.4.25</t>
  </si>
  <si>
    <t>4.2.4.26</t>
  </si>
  <si>
    <t>4.2.4.27</t>
  </si>
  <si>
    <t>4.2.4.28</t>
  </si>
  <si>
    <t>4.2.4.29</t>
  </si>
  <si>
    <t>4.2.4.30</t>
  </si>
  <si>
    <r>
      <t>Construction of a 50 m</t>
    </r>
    <r>
      <rPr>
        <b/>
        <vertAlign val="superscript"/>
        <sz val="11"/>
        <rFont val="Arial"/>
        <family val="2"/>
      </rPr>
      <t>3</t>
    </r>
    <r>
      <rPr>
        <b/>
        <sz val="11"/>
        <rFont val="Arial"/>
        <family val="2"/>
      </rPr>
      <t xml:space="preserve"> reservoir capacity</t>
    </r>
  </si>
  <si>
    <r>
      <t>m</t>
    </r>
    <r>
      <rPr>
        <vertAlign val="superscript"/>
        <sz val="11"/>
        <rFont val="Arial"/>
        <family val="2"/>
      </rPr>
      <t>3</t>
    </r>
  </si>
  <si>
    <r>
      <t>m</t>
    </r>
    <r>
      <rPr>
        <vertAlign val="superscript"/>
        <sz val="11"/>
        <rFont val="Arial"/>
        <family val="2"/>
      </rPr>
      <t>2</t>
    </r>
  </si>
  <si>
    <t>Sub total</t>
  </si>
  <si>
    <r>
      <t>Soakaway pit 1 m</t>
    </r>
    <r>
      <rPr>
        <vertAlign val="superscript"/>
        <sz val="11"/>
        <rFont val="Arial"/>
        <family val="2"/>
      </rPr>
      <t>3</t>
    </r>
    <r>
      <rPr>
        <sz val="11"/>
        <rFont val="Arial"/>
        <family val="2"/>
      </rPr>
      <t>, full of gravel and hardcore (stones pitching)</t>
    </r>
  </si>
  <si>
    <t>SUBTOTAL 4.1.4</t>
  </si>
  <si>
    <t>4.1.5.11</t>
  </si>
  <si>
    <t>4.1.5.12</t>
  </si>
  <si>
    <t>4.1.5.13</t>
  </si>
  <si>
    <t>4.1.5.14</t>
  </si>
  <si>
    <t>4.2.3.31</t>
  </si>
  <si>
    <t>Sub total 4.2.4:</t>
  </si>
  <si>
    <t>4.3.3</t>
  </si>
  <si>
    <t>4.3.3.1</t>
  </si>
  <si>
    <t>4.3.3.2</t>
  </si>
  <si>
    <t>4.3.3.3</t>
  </si>
  <si>
    <t>4.3.3.4</t>
  </si>
  <si>
    <t>4.3.3.5</t>
  </si>
  <si>
    <t>4.3.3.6</t>
  </si>
  <si>
    <t>4.3.3.7</t>
  </si>
  <si>
    <t>4.3.3.8</t>
  </si>
  <si>
    <t>4.3.3.9</t>
  </si>
  <si>
    <t>4.3.3.10</t>
  </si>
  <si>
    <t>4.3.3.11</t>
  </si>
  <si>
    <t>4.3.3.12</t>
  </si>
  <si>
    <t>Construction of 25 m3 capacity reservoir</t>
  </si>
  <si>
    <t>Hydraulic reinforced concrete for the base and column</t>
  </si>
  <si>
    <t>Supply and fix of the metallic cover of 80X80X0.3 cm  with a ventilation shaft at the top and a mosquito screen</t>
  </si>
  <si>
    <t>VALVE CHAMBER</t>
  </si>
  <si>
    <t xml:space="preserve">Supply and installation of hydraulic equipment and Fittings for connection of 25m3 reservoir </t>
  </si>
  <si>
    <t>Lumpsum</t>
  </si>
  <si>
    <t>SUBTOTAL OF Res. 25m3</t>
  </si>
  <si>
    <t>Rehabilitation  of 20 m3 capacity reservoir</t>
  </si>
  <si>
    <t>SUBTOTAL OF 1 Res. 20m3</t>
  </si>
  <si>
    <t>4.2.3.23</t>
  </si>
  <si>
    <t>Site excavation</t>
  </si>
  <si>
    <t>Riprap for dry stones. thickness 30 cm</t>
  </si>
  <si>
    <t>Blinding concrete. thickness 5 cm dosage 150 kg/m3</t>
  </si>
  <si>
    <t>Reinforce concrete rafter. dosage 350 kg/m3</t>
  </si>
  <si>
    <t>Reinforced concrete elevation. Mixing ratio350 kg / m3</t>
  </si>
  <si>
    <t>reinforced concrete Column and beam</t>
  </si>
  <si>
    <t>Reinforced concrete Cover slab. dosage 350 kg/m3</t>
  </si>
  <si>
    <t>Internal roughcasting with a cement mortar mixed at 400kg / m3 and sikalatex in three successive layers of thickness of 2cm each</t>
  </si>
  <si>
    <t xml:space="preserve">External roughcasting with a cement mortar mixed at 400kg / m3 in one layer of thickness of 2cm </t>
  </si>
  <si>
    <t>Supply and installation of a steel manhole cover 80x80 cm of 3mm thick with aeration</t>
  </si>
  <si>
    <t>pce</t>
  </si>
  <si>
    <t>Supply and Installation of Almnium ladder (Inox ladder) for access</t>
  </si>
  <si>
    <t xml:space="preserve">Protection of the cover slab with roofing and gravel </t>
  </si>
  <si>
    <t>Ls</t>
  </si>
  <si>
    <t>Valve Chamber #2x2x1.2 int#</t>
  </si>
  <si>
    <t>Riprap for dry stones. thickness 0.2 cm</t>
  </si>
  <si>
    <t>Stone masonry for elevation</t>
  </si>
  <si>
    <t>Application of a finishing layer inside the structure</t>
  </si>
  <si>
    <t xml:space="preserve">m2 </t>
  </si>
  <si>
    <t>Pointing of exterior masonry</t>
  </si>
  <si>
    <t>Supply and installation of Flanged hydraulic equipment &amp; Fittings and DI pipes for connection of chamber according to the client instruction</t>
  </si>
  <si>
    <t xml:space="preserve">pce </t>
  </si>
  <si>
    <t xml:space="preserve">REJECTION WORK </t>
  </si>
  <si>
    <r>
      <t>m</t>
    </r>
    <r>
      <rPr>
        <vertAlign val="superscript"/>
        <sz val="12"/>
        <color indexed="8"/>
        <rFont val="Garamond"/>
        <family val="1"/>
      </rPr>
      <t>3</t>
    </r>
  </si>
  <si>
    <t>Hardcore (Stones pitching) of 20 cm with a filling of 1:10 cement sand mortar mix, saturated with water</t>
  </si>
  <si>
    <t xml:space="preserve">stone Masonry walls </t>
  </si>
  <si>
    <r>
      <t>Coating of walls with plaster of 300 kg/m</t>
    </r>
    <r>
      <rPr>
        <vertAlign val="superscript"/>
        <sz val="12"/>
        <color indexed="8"/>
        <rFont val="Garamond"/>
        <family val="1"/>
      </rPr>
      <t xml:space="preserve">3 </t>
    </r>
    <r>
      <rPr>
        <sz val="12"/>
        <color indexed="8"/>
        <rFont val="Garamond"/>
        <family val="1"/>
      </rPr>
      <t>cement mixture</t>
    </r>
  </si>
  <si>
    <r>
      <t>m</t>
    </r>
    <r>
      <rPr>
        <vertAlign val="superscript"/>
        <sz val="12"/>
        <color indexed="8"/>
        <rFont val="Garamond"/>
        <family val="1"/>
      </rPr>
      <t>2</t>
    </r>
  </si>
  <si>
    <r>
      <t>Soakaway pit 1 m</t>
    </r>
    <r>
      <rPr>
        <vertAlign val="superscript"/>
        <sz val="12"/>
        <color indexed="8"/>
        <rFont val="Garamond"/>
        <family val="1"/>
      </rPr>
      <t>3</t>
    </r>
    <r>
      <rPr>
        <sz val="12"/>
        <color indexed="8"/>
        <rFont val="Garamond"/>
        <family val="1"/>
      </rPr>
      <t>, full of gravel and hardcore (stones pitching)</t>
    </r>
  </si>
  <si>
    <t>4.2.6</t>
  </si>
  <si>
    <t>CONSTRUCTION OF REINFORCED CONCRETE Reservoir 200 m3</t>
  </si>
  <si>
    <t>4.2.6.1</t>
  </si>
  <si>
    <t>4.2.6.2</t>
  </si>
  <si>
    <t>4.2.6.3</t>
  </si>
  <si>
    <t>4.2.6.4</t>
  </si>
  <si>
    <t>4.2.6.5</t>
  </si>
  <si>
    <t>4.2.6.6</t>
  </si>
  <si>
    <t>4.2.6.7</t>
  </si>
  <si>
    <t>4.2.6.8</t>
  </si>
  <si>
    <t>Internal rough casting with a cement mortar mixed at 400kg / m3 and sikalatex in three successive layers of thickness of 2cm each</t>
  </si>
  <si>
    <t>4.2.6.9</t>
  </si>
  <si>
    <t>4.2.6.10</t>
  </si>
  <si>
    <t>4.2.6.11</t>
  </si>
  <si>
    <t>4.2.6.12</t>
  </si>
  <si>
    <t>4.2.6.13</t>
  </si>
  <si>
    <t>4.2.6.14</t>
  </si>
  <si>
    <t>4.2.6.15</t>
  </si>
  <si>
    <t>4.2.6.16</t>
  </si>
  <si>
    <t>4.2.6.17</t>
  </si>
  <si>
    <t>4.2.6.18</t>
  </si>
  <si>
    <t>4.2.6.19</t>
  </si>
  <si>
    <t>4.2.6.20</t>
  </si>
  <si>
    <t>4.2.6.21</t>
  </si>
  <si>
    <t>Supply and installation of a steel manhole cover 60x60cm of 3mm thick</t>
  </si>
  <si>
    <t>4.2.6.22</t>
  </si>
  <si>
    <t>4.2.6.23</t>
  </si>
  <si>
    <t>4.2.6.24</t>
  </si>
  <si>
    <t>4.2.6.25</t>
  </si>
  <si>
    <t>4.2.6.26</t>
  </si>
  <si>
    <t>4.2.6.27</t>
  </si>
  <si>
    <t>4.2.6.28</t>
  </si>
  <si>
    <t>4.2.6.29</t>
  </si>
  <si>
    <t>SUBTOTAL 4.2.6:</t>
  </si>
  <si>
    <t>4.2.7</t>
  </si>
  <si>
    <t xml:space="preserve">Reservoir of 400 m3 capacity </t>
  </si>
  <si>
    <t>4.2.7.1</t>
  </si>
  <si>
    <t>Excavation and evacuation of loose ground for setting out the reservoir, 30cm depth</t>
  </si>
  <si>
    <t>4.2.7.2</t>
  </si>
  <si>
    <t>Excavation and evacuation of hard ground for setting out the reservoir,3m depth</t>
  </si>
  <si>
    <t>4.2.7.3</t>
  </si>
  <si>
    <t>Excavation &amp; evacuation of the excess earthworks.</t>
  </si>
  <si>
    <t>4.2.7.4</t>
  </si>
  <si>
    <t>Approved, compacted backfilling soil(murram) all around reservoir</t>
  </si>
  <si>
    <t>4.2.7.5</t>
  </si>
  <si>
    <t>Hardcore stone construction</t>
  </si>
  <si>
    <t>4.2.7.6</t>
  </si>
  <si>
    <t>Blinding concrete with a mixing proportion of 200kg/m3</t>
  </si>
  <si>
    <t>4.2.7.7</t>
  </si>
  <si>
    <t>Reinforced Concrete for floor slab (d=35cm) and concrete for the slope at the bottom of the reservoir, (t=15cm) with a mixing proportion of 350 kg/m3.</t>
  </si>
  <si>
    <t>4.2.7.8</t>
  </si>
  <si>
    <r>
      <t>Concrete for the reservoir walls (elevations). (dosage 350 kg/m</t>
    </r>
    <r>
      <rPr>
        <vertAlign val="superscript"/>
        <sz val="12"/>
        <rFont val="Times New Roman"/>
        <family val="1"/>
      </rPr>
      <t>3</t>
    </r>
    <r>
      <rPr>
        <sz val="12"/>
        <rFont val="Times New Roman"/>
        <family val="1"/>
      </rPr>
      <t>)</t>
    </r>
  </si>
  <si>
    <t>4.2.7.9</t>
  </si>
  <si>
    <t>Concrete for the Columns and Beams (dosage 350 kg/m3)</t>
  </si>
  <si>
    <t>4.2.7.10</t>
  </si>
  <si>
    <t>Water proof seal of width 35cm/water stop</t>
  </si>
  <si>
    <t>m</t>
  </si>
  <si>
    <t>4.2.7.11</t>
  </si>
  <si>
    <r>
      <t>Concrete for the upper slab of the reservoir (dosage 350 kg/m</t>
    </r>
    <r>
      <rPr>
        <vertAlign val="superscript"/>
        <sz val="12"/>
        <rFont val="Times New Roman"/>
        <family val="1"/>
      </rPr>
      <t>3</t>
    </r>
    <r>
      <rPr>
        <sz val="12"/>
        <rFont val="Times New Roman"/>
        <family val="1"/>
      </rPr>
      <t>)</t>
    </r>
  </si>
  <si>
    <t>4.2.7.12</t>
  </si>
  <si>
    <t>Internal coating using «Sikalatex » (Barbotine  de 3 couches)</t>
  </si>
  <si>
    <r>
      <t>m</t>
    </r>
    <r>
      <rPr>
        <vertAlign val="superscript"/>
        <sz val="12"/>
        <rFont val="Times New Roman"/>
        <family val="1"/>
      </rPr>
      <t>2</t>
    </r>
  </si>
  <si>
    <t>4.2.7.13</t>
  </si>
  <si>
    <t>Protection of the cover slab with roofing, bitumen and gravel.</t>
  </si>
  <si>
    <t>4.2.7.14</t>
  </si>
  <si>
    <t xml:space="preserve">Water proof up to a height of 500mm </t>
  </si>
  <si>
    <t>4.2.7.15</t>
  </si>
  <si>
    <t>Realization of ф50mm pipes for the evacuation of rainwater from the top slab of the reservoir.</t>
  </si>
  <si>
    <t>4.2.7.16</t>
  </si>
  <si>
    <t xml:space="preserve">Putting in place the metallic cover of 60mmx60mm. </t>
  </si>
  <si>
    <t>4.2.7.17</t>
  </si>
  <si>
    <t>Internal Ladder (in G.S tube pipe of ф1' )</t>
  </si>
  <si>
    <t>4.2.7.18</t>
  </si>
  <si>
    <t>Supply and installation of Flanged Ductile Iron hydraulic equipment and Fittings for connection of reservoir</t>
  </si>
  <si>
    <t>unit</t>
  </si>
  <si>
    <t>VALVES MANHOLE (INT.DIM. 2X1,5X1,5m)</t>
  </si>
  <si>
    <t>4.2.7.19</t>
  </si>
  <si>
    <t>Excavated pit of 1,5m dept for setting out of  manholes</t>
  </si>
  <si>
    <t>4.2.7.20</t>
  </si>
  <si>
    <t>Blinding concrete dosage 200 kg/m3</t>
  </si>
  <si>
    <t>4.2.7.21</t>
  </si>
  <si>
    <r>
      <t>Mass Concrete for the base floor with wire-mesh slab, th=15cm (dosage250 kg/m</t>
    </r>
    <r>
      <rPr>
        <vertAlign val="superscript"/>
        <sz val="12"/>
        <rFont val="Times New Roman"/>
        <family val="1"/>
      </rPr>
      <t>3</t>
    </r>
    <r>
      <rPr>
        <sz val="12"/>
        <rFont val="Times New Roman"/>
        <family val="1"/>
      </rPr>
      <t>)</t>
    </r>
  </si>
  <si>
    <t>4.2.7.22</t>
  </si>
  <si>
    <t>Elevation in cement block</t>
  </si>
  <si>
    <t>4.2.7.23</t>
  </si>
  <si>
    <t>Concrete for the cover slab, th=15cm (dosage 350 kg/m³)</t>
  </si>
  <si>
    <t>4.2.7.24</t>
  </si>
  <si>
    <t>Hardcore below ground floor</t>
  </si>
  <si>
    <t>4.2.7.25</t>
  </si>
  <si>
    <t>Solid &amp; anchoring mass with a proportioning of 350kg/m3</t>
  </si>
  <si>
    <t>4.2.7.26</t>
  </si>
  <si>
    <t>Putting in place the metallic cover of 60mmx60mm. The sheet should have a thickness of 3mm.</t>
  </si>
  <si>
    <t>4.2.7.27</t>
  </si>
  <si>
    <t>Drains of water from the structure</t>
  </si>
  <si>
    <t>nbre</t>
  </si>
  <si>
    <t>WASHOUT BASIN</t>
  </si>
  <si>
    <t>4.2.7.28</t>
  </si>
  <si>
    <t>4.2.7.29</t>
  </si>
  <si>
    <t>Hardcore (stones pitching) of 20 cm with voids full with cement and sand mortar mix of ratio 1 to 10 respectively, saturated with water</t>
  </si>
  <si>
    <t>4.2.7.30</t>
  </si>
  <si>
    <t>4.2.7.31</t>
  </si>
  <si>
    <t>4.2.7.32</t>
  </si>
  <si>
    <t>Walling with fair face stones works and pointing the joint of external faces</t>
  </si>
  <si>
    <t>4.2.7.33</t>
  </si>
  <si>
    <t>Coating of internal faces with 3 layers of plaster of 300 kg ciment mixture</t>
  </si>
  <si>
    <t>4.2.7.34</t>
  </si>
  <si>
    <r>
      <t>m</t>
    </r>
    <r>
      <rPr>
        <vertAlign val="superscript"/>
        <sz val="9"/>
        <rFont val="Arial"/>
        <family val="2"/>
      </rPr>
      <t>3</t>
    </r>
  </si>
  <si>
    <r>
      <t>m</t>
    </r>
    <r>
      <rPr>
        <vertAlign val="superscript"/>
        <sz val="9"/>
        <rFont val="Arial"/>
        <family val="2"/>
      </rPr>
      <t>2</t>
    </r>
    <r>
      <rPr>
        <sz val="10"/>
        <rFont val="Arial"/>
        <family val="2"/>
      </rPr>
      <t/>
    </r>
  </si>
  <si>
    <t>VAT 0F 18%</t>
  </si>
  <si>
    <t>OVERALL WITH VAT</t>
  </si>
  <si>
    <t>4.4.1</t>
  </si>
  <si>
    <t xml:space="preserve">Reservoir of 500m3 capacity </t>
  </si>
  <si>
    <t>Construction of distribution tanks of 500m3 capacity at Ruhinga</t>
  </si>
  <si>
    <t>4.4.1.1</t>
  </si>
  <si>
    <r>
      <t>m</t>
    </r>
    <r>
      <rPr>
        <vertAlign val="superscript"/>
        <sz val="10"/>
        <rFont val="Arial"/>
        <family val="2"/>
      </rPr>
      <t>3</t>
    </r>
  </si>
  <si>
    <t>4.4.1.2</t>
  </si>
  <si>
    <t>4.4.1.3</t>
  </si>
  <si>
    <t>4.4.1.4</t>
  </si>
  <si>
    <t>4.4.1.5</t>
  </si>
  <si>
    <t>4.4.1.6</t>
  </si>
  <si>
    <t>4.4.1.7</t>
  </si>
  <si>
    <t>4.4.1.8</t>
  </si>
  <si>
    <r>
      <t>Concrete for the reservoir walls (elevations). (dosage 350 kg/m</t>
    </r>
    <r>
      <rPr>
        <vertAlign val="superscript"/>
        <sz val="10"/>
        <rFont val="Arial"/>
        <family val="2"/>
      </rPr>
      <t>3</t>
    </r>
    <r>
      <rPr>
        <sz val="10"/>
        <rFont val="Arial"/>
        <family val="2"/>
      </rPr>
      <t>)</t>
    </r>
  </si>
  <si>
    <t>4.4.1.9</t>
  </si>
  <si>
    <t>4.4.1.10</t>
  </si>
  <si>
    <t>4.4.1.11</t>
  </si>
  <si>
    <r>
      <t>Concrete for the upper slab of the reservoir (dosage 350 kg/m</t>
    </r>
    <r>
      <rPr>
        <vertAlign val="superscript"/>
        <sz val="10"/>
        <rFont val="Arial"/>
        <family val="2"/>
      </rPr>
      <t>3</t>
    </r>
    <r>
      <rPr>
        <sz val="10"/>
        <rFont val="Arial"/>
        <family val="2"/>
      </rPr>
      <t>)</t>
    </r>
  </si>
  <si>
    <t>4.4.1.12</t>
  </si>
  <si>
    <r>
      <t>m</t>
    </r>
    <r>
      <rPr>
        <vertAlign val="superscript"/>
        <sz val="10"/>
        <rFont val="Arial"/>
        <family val="2"/>
      </rPr>
      <t>2</t>
    </r>
  </si>
  <si>
    <t>4.4.1.13</t>
  </si>
  <si>
    <t>4.4.1.14</t>
  </si>
  <si>
    <t>4.4.1.15</t>
  </si>
  <si>
    <t>4.4.1.16</t>
  </si>
  <si>
    <t>4.4.1.17</t>
  </si>
  <si>
    <t>4.4.1.18</t>
  </si>
  <si>
    <t>4.4.1.19</t>
  </si>
  <si>
    <t>4.4.1.20</t>
  </si>
  <si>
    <t>4.4.1.21</t>
  </si>
  <si>
    <r>
      <t>Mass Concrete for the base floor with wire-mesh slab, th=15cm (dosage250 kg/m</t>
    </r>
    <r>
      <rPr>
        <vertAlign val="superscript"/>
        <sz val="10"/>
        <rFont val="Arial"/>
        <family val="2"/>
      </rPr>
      <t>3</t>
    </r>
    <r>
      <rPr>
        <sz val="10"/>
        <rFont val="Arial"/>
        <family val="2"/>
      </rPr>
      <t>)</t>
    </r>
  </si>
  <si>
    <t>4.4.1.22</t>
  </si>
  <si>
    <t>4.4.1.23</t>
  </si>
  <si>
    <t>4.4.1.24</t>
  </si>
  <si>
    <t>4.4.1.25</t>
  </si>
  <si>
    <t>4.4.1.26</t>
  </si>
  <si>
    <t>4.4.1.27</t>
  </si>
  <si>
    <t>4.4.1.28</t>
  </si>
  <si>
    <t>4.4.1.29</t>
  </si>
  <si>
    <t>4.4.1.30</t>
  </si>
  <si>
    <t>4.4.1.31</t>
  </si>
  <si>
    <t>4.4.1.32</t>
  </si>
  <si>
    <t>4.4.1.33</t>
  </si>
  <si>
    <t>4.4.1.34</t>
  </si>
  <si>
    <t>4.4.1.35</t>
  </si>
  <si>
    <r>
      <t>m</t>
    </r>
    <r>
      <rPr>
        <vertAlign val="superscript"/>
        <sz val="10"/>
        <rFont val="Arial"/>
        <family val="2"/>
      </rPr>
      <t>2</t>
    </r>
    <r>
      <rPr>
        <sz val="10"/>
        <rFont val="Arial"/>
        <family val="2"/>
      </rPr>
      <t/>
    </r>
  </si>
  <si>
    <t>4.4.1.36</t>
  </si>
  <si>
    <r>
      <t>Soakaway pit 1 m</t>
    </r>
    <r>
      <rPr>
        <vertAlign val="superscript"/>
        <sz val="10"/>
        <rFont val="Arial"/>
        <family val="2"/>
      </rPr>
      <t>3</t>
    </r>
    <r>
      <rPr>
        <sz val="10"/>
        <rFont val="Arial"/>
        <family val="2"/>
      </rPr>
      <t>, full of gravel and hardcore (stones pitching)</t>
    </r>
  </si>
  <si>
    <t>4.4.1.37</t>
  </si>
  <si>
    <t>Woven wire fencing 2m height bound on metallic poles (40x40mm) 2,50 m equidistant and anchoring in a hardcore and cement mortar foundation (1,20 m height) along the outline of the plot</t>
  </si>
  <si>
    <t>4.4.1.38</t>
  </si>
  <si>
    <t>Mesh gate stretched on a metal tubes framework (4,0x2,0 m) for  access inside the parcel, including stones masonry columns for fixing</t>
  </si>
  <si>
    <t>SUBTOTAL 4.4.1:For   Res. 500m3:</t>
  </si>
  <si>
    <t>4.4.2</t>
  </si>
  <si>
    <t>Reservoir of 125 m3 capacity (Sunction Tanks )</t>
  </si>
  <si>
    <t>4.4.2.1</t>
  </si>
  <si>
    <t>4.4.2.2</t>
  </si>
  <si>
    <t>4.4.2.3</t>
  </si>
  <si>
    <t>4.4.2.4</t>
  </si>
  <si>
    <t>4.4.2.5</t>
  </si>
  <si>
    <t>4.4.2.6</t>
  </si>
  <si>
    <t>4.4.2.7</t>
  </si>
  <si>
    <t>4.4.2.8</t>
  </si>
  <si>
    <t>4.4.2.9</t>
  </si>
  <si>
    <t>4.4.2.10</t>
  </si>
  <si>
    <t>4.4.2.11</t>
  </si>
  <si>
    <t>4.4.2.12</t>
  </si>
  <si>
    <t>4.4.2.13</t>
  </si>
  <si>
    <t>4.4.2.14</t>
  </si>
  <si>
    <t>4.4.2.15</t>
  </si>
  <si>
    <t>4.4.2.16</t>
  </si>
  <si>
    <t>Hydraulic reinforced concrete for the base and roof slab</t>
  </si>
  <si>
    <t>4.4.2.17</t>
  </si>
  <si>
    <t>4.4.2.18</t>
  </si>
  <si>
    <t>4.4.2.19</t>
  </si>
  <si>
    <t>4.4.2.20</t>
  </si>
  <si>
    <t>4.4.2.21</t>
  </si>
  <si>
    <t>4.4.2.22</t>
  </si>
  <si>
    <t>Supply and fix an  iron  ladder for interior access embedded in the wall, painted with 3 layers of anti-rust paint, the step=25cm</t>
  </si>
  <si>
    <t>4.4.2.23</t>
  </si>
  <si>
    <t>4.4.2.24</t>
  </si>
  <si>
    <t>4.4.2.25</t>
  </si>
  <si>
    <t>4.4.2.26</t>
  </si>
  <si>
    <t>4.4.2.27</t>
  </si>
  <si>
    <t>4.4.2.28</t>
  </si>
  <si>
    <t>4.4.2.29</t>
  </si>
  <si>
    <t>4.4.2.30</t>
  </si>
  <si>
    <t>Supply and installation of hydraulic equipment and Fittings for connection of 125m3 reservoir</t>
  </si>
  <si>
    <t>4.4.2.31</t>
  </si>
  <si>
    <t>4.4.2.32</t>
  </si>
  <si>
    <t>SUBTOTAL 4.4.2:</t>
  </si>
  <si>
    <t>CONSTRUCTION OF REINFORCED CONCRETE RESERVOIR OF 100 m3 at Ntwali Village</t>
  </si>
  <si>
    <t>SUBTOTAL 3.2.3:</t>
  </si>
  <si>
    <t>casing with GS 1 1/4'' pipe</t>
  </si>
  <si>
    <t>casing with GS 1 1/2'' pipe</t>
  </si>
  <si>
    <t>casing with GS 2'' pipe</t>
  </si>
  <si>
    <t>Casing with G.S 6" pipes</t>
  </si>
  <si>
    <t>Casing with G.S 5" pipes</t>
  </si>
  <si>
    <t>Casing with G.S 4-1/2" pipes</t>
  </si>
  <si>
    <t>Casing with G.S 3-1/2" pipes</t>
  </si>
  <si>
    <t>Casing with G.S 2 1/2" pipes</t>
  </si>
  <si>
    <t>4.1.3.15</t>
  </si>
  <si>
    <t>4.1.4.12</t>
  </si>
  <si>
    <t>4.1.4.13</t>
  </si>
  <si>
    <t>4.1.4.14</t>
  </si>
  <si>
    <t>4.1.4.15</t>
  </si>
  <si>
    <t>Construction of pump house</t>
  </si>
  <si>
    <t>Construction of stone masonry retaining wall at pumping station</t>
  </si>
  <si>
    <t>Inside subfloor pavement in hardcore</t>
  </si>
  <si>
    <t>Plastering of external pavements, brinks of windows with smooth finish concrete including all accruals.</t>
  </si>
  <si>
    <t>Floor covering inside the hall with smooth finish concrete.</t>
  </si>
  <si>
    <t>Ring beam in reinforced concrete</t>
  </si>
  <si>
    <t>Masonry in hardcore bound with cement mortar for foundation.</t>
  </si>
  <si>
    <t>Elevation wall in burnt bricks masonry bound with cement mortal and external joints pointed</t>
  </si>
  <si>
    <t>Blinding and screed cement mortar</t>
  </si>
  <si>
    <t>Pedestal in solid concrete for command board and anti-hummer system.</t>
  </si>
  <si>
    <t>Supply and fix of ventillation cement blocs (claustras)</t>
  </si>
  <si>
    <t>u</t>
  </si>
  <si>
    <t xml:space="preserve">Supply and fix of damp proof course </t>
  </si>
  <si>
    <t xml:space="preserve">Pointing of joints for wall's external sides  </t>
  </si>
  <si>
    <t>Coating of walls, doors and windows with 2 thin layers of paint</t>
  </si>
  <si>
    <t>Supplying and laying of steel tubes 60x40 mm for purlins</t>
  </si>
  <si>
    <t>Supplying and laying of steel tubes 40x40 mm struts</t>
  </si>
  <si>
    <t>Supply and fix of profiled metal І PE 200 mm for mechanical hoist</t>
  </si>
  <si>
    <t>Supply and fix of cover of embossed sheet iron</t>
  </si>
  <si>
    <t>Supplying and installation  of metallic  eave gutter</t>
  </si>
  <si>
    <t>Supplying and laying of metallic frieze board</t>
  </si>
  <si>
    <t>Supply and installation including fittings of rain water drop down pipe in PVC DE 110 and disposal toward surounding fields</t>
  </si>
  <si>
    <t>Supply and installation of a steel and plain double leaf door (2,8mx2,1m) sized including an sefety lock</t>
  </si>
  <si>
    <t>Renforced cement concrete for removable slabs of electrical cables gutters</t>
  </si>
  <si>
    <t>Supply and installation of 4 fluorescent lamps on opposit sides and 4 power intake sockets inside, 4 fluorescent lamps on four sides of the building, 4 street standard lamps outside and cables including all accruals</t>
  </si>
  <si>
    <t>Implementation of a soakaways / percolation pit for rainwater inside the pumping station including all accruals</t>
  </si>
  <si>
    <t>Supplying and installation of a ligthning conductor</t>
  </si>
  <si>
    <t>Concrete for abutment</t>
  </si>
  <si>
    <t>Development of access and traffic street inside the plot including borders and gutters. For coating the track, sandy and gravel soil will be spread and compacted with a steamroller</t>
  </si>
  <si>
    <t>Planting of lawn grasses inside the plot</t>
  </si>
  <si>
    <t>Sous total</t>
  </si>
  <si>
    <t>Hydraulic equipments</t>
  </si>
  <si>
    <t>Hydraulic equipments for sucking up, backing up and wash out with flanges</t>
  </si>
  <si>
    <t>Shelter of sentinel</t>
  </si>
  <si>
    <t>Site clearance and removal of top soil</t>
  </si>
  <si>
    <t>Site terracing</t>
  </si>
  <si>
    <t>Excavation for foundation; h = 0,7m</t>
  </si>
  <si>
    <t>Blind concrete</t>
  </si>
  <si>
    <t>Foundation in stones masonry</t>
  </si>
  <si>
    <t>Concrete for foundation screed</t>
  </si>
  <si>
    <t>m²</t>
  </si>
  <si>
    <t>Damp proof roofing</t>
  </si>
  <si>
    <t>walling with burnt brickwork</t>
  </si>
  <si>
    <t>Lintel in reinforced concrete</t>
  </si>
  <si>
    <t>Ventilator in bore hole concrete blocks</t>
  </si>
  <si>
    <t xml:space="preserve">Wooden struts and purlins </t>
  </si>
  <si>
    <t>Wooden frieze board</t>
  </si>
  <si>
    <t>Metallic simple plain door with glazed window :- 90x210cm</t>
  </si>
  <si>
    <t>Glazed metallic window with burglar proofs:- 100x120cm</t>
  </si>
  <si>
    <t xml:space="preserve">Plinth of the interior and exterior walls </t>
  </si>
  <si>
    <t>Plastering of internal wall sides</t>
  </si>
  <si>
    <t>Pointing of joints on external sides of walls</t>
  </si>
  <si>
    <t>Paving with burnt bricks</t>
  </si>
  <si>
    <t xml:space="preserve">Floor finishes with a rough cement mortar </t>
  </si>
  <si>
    <t>Splash apron</t>
  </si>
  <si>
    <t>Latex paints on walls and lintel</t>
  </si>
  <si>
    <t>Enamel paint on doors, windows and frieze board</t>
  </si>
  <si>
    <t>Elecrification of the shelter (2 sockets, 2 fluorescent lamps and cabling)</t>
  </si>
  <si>
    <t>Supply of furniture (4 chairs, 1 table and 1 wardrobe)</t>
  </si>
  <si>
    <t>Ventilated pit latrine for the Sentinel</t>
  </si>
  <si>
    <t>Site clearance and removal of top vegetable soil</t>
  </si>
  <si>
    <t>Terracing of the site</t>
  </si>
  <si>
    <t>Digging of the pit</t>
  </si>
  <si>
    <t>Foundation in stone masonry</t>
  </si>
  <si>
    <t>Slabs in reinforced concrete</t>
  </si>
  <si>
    <t>Walling in burnt brickwork</t>
  </si>
  <si>
    <t xml:space="preserve">Plywood doors :- 80x200 </t>
  </si>
  <si>
    <t xml:space="preserve">PVC pipe 110 for ventilation + Lattice </t>
  </si>
  <si>
    <t>Plinthe en ciment lissée intér. et extérieur</t>
  </si>
  <si>
    <t>Plinth of the interior and exterior wall faces</t>
  </si>
  <si>
    <t>Pointing of joints on external faces of walls</t>
  </si>
  <si>
    <t>Floor covering with hard rough finish</t>
  </si>
  <si>
    <t>Enamel paint on doors and wooden frieze board</t>
  </si>
  <si>
    <t>Elecrification of the latrine (2 sockets, 2 fluorescent lamps and cabling)</t>
  </si>
  <si>
    <t>Earthworks, excavation for foundation and evacuation or overlay of the surplus soils, including all accruals</t>
  </si>
  <si>
    <t>Interior sub paving with stones</t>
  </si>
  <si>
    <t>Blind concrete, thickness 5 cm</t>
  </si>
  <si>
    <t>Pavement of outside sidewalk and the thresholds on the windows, smoth and all accruals</t>
  </si>
  <si>
    <t>Concrete for interior pavement, smoth and all accruals</t>
  </si>
  <si>
    <t>Reinforced concrete for lintel and slab for platform entry</t>
  </si>
  <si>
    <t>Stones masonry for foundation with cement mortar</t>
  </si>
  <si>
    <t>Masonry in burnt bricks with mortar</t>
  </si>
  <si>
    <t>Screed with poor cement mortar</t>
  </si>
  <si>
    <t>Massive base plate for generator and control panel in concrete</t>
  </si>
  <si>
    <t>Supply and laying of ventilator in concrete blocks</t>
  </si>
  <si>
    <t>Supply and laying of damp proof</t>
  </si>
  <si>
    <t>External walls joints pointed</t>
  </si>
  <si>
    <t>Wooden Pole 12m</t>
  </si>
  <si>
    <t>Pce</t>
  </si>
  <si>
    <t>Tension insulators with accessories, 30kV</t>
  </si>
  <si>
    <t>Set</t>
  </si>
  <si>
    <t>Post line insulators with accessories, 30kV</t>
  </si>
  <si>
    <t>ACSR Conductor 70/12mmq</t>
  </si>
  <si>
    <t>Surge arrestor 30kV</t>
  </si>
  <si>
    <t>Droup out fuse with fuselink 2A</t>
  </si>
  <si>
    <t>Cross arm 2.5m with bolts and nuts</t>
  </si>
  <si>
    <t>LV underground cable 4*35 mmsq</t>
  </si>
  <si>
    <t>twisted cable 3.35+54.6mmsq</t>
  </si>
  <si>
    <t>Earthing materials(earth rod 15pcs,copper earth wire 80m,)</t>
  </si>
  <si>
    <t>Stones</t>
  </si>
  <si>
    <t>Truck</t>
  </si>
  <si>
    <t>Stay wire with accessories</t>
  </si>
  <si>
    <t xml:space="preserve">REHABILITATION OF CATCHMENT OF  SOURCES </t>
  </si>
  <si>
    <t>Increase in value for a hard and rock ground</t>
  </si>
  <si>
    <t xml:space="preserve">Supply and fix  18m PVC strainer DE90 DN80 PN10 to 20 cm of the tablecloth and routing of water in pipe PVC DE75 DN60 PN10 of the strainer to the starting chamber at 45 m, including all accruals </t>
  </si>
  <si>
    <t>Retaining Wall in Stone masonry  for catchment area protection</t>
  </si>
  <si>
    <t>SUBTOTAL  of  …….. STARTING CHAMBERS:</t>
  </si>
  <si>
    <t xml:space="preserve">REHABILITATION OF STARTING AND COLLECTION CHAMBERS </t>
  </si>
  <si>
    <r>
      <t>m</t>
    </r>
    <r>
      <rPr>
        <vertAlign val="superscript"/>
        <sz val="10"/>
        <rFont val="Times New Roman"/>
        <family val="1"/>
      </rPr>
      <t>3</t>
    </r>
  </si>
  <si>
    <t>Stripping or removal of old internal face of wall of chamber and external joints</t>
  </si>
  <si>
    <r>
      <t>m</t>
    </r>
    <r>
      <rPr>
        <vertAlign val="superscript"/>
        <sz val="10"/>
        <rFont val="Times New Roman"/>
        <family val="1"/>
      </rPr>
      <t>2</t>
    </r>
    <r>
      <rPr>
        <sz val="10"/>
        <rFont val="Arial"/>
        <family val="2"/>
      </rPr>
      <t/>
    </r>
  </si>
  <si>
    <t>Repointing of external face of walls</t>
  </si>
  <si>
    <t>Coating of the internal face of wall of the chamber with 3 hydrafuges water proofing coats</t>
  </si>
  <si>
    <t>application of sikalatex later on internal surface after the impermeability test of the chamber</t>
  </si>
  <si>
    <t>Supply and coating some external parts(cover,hydraulic connectios,..) of the chamber with 3 layers of "Epoxy" paint</t>
  </si>
  <si>
    <t xml:space="preserve">Supply and fix of the metallic cover of 60X60X0.3 cm  </t>
  </si>
  <si>
    <t>Supply and fix hydraulic equipements</t>
  </si>
  <si>
    <t>ls</t>
  </si>
  <si>
    <t>Stripping or removal of old face of wall</t>
  </si>
  <si>
    <r>
      <t>m</t>
    </r>
    <r>
      <rPr>
        <vertAlign val="superscript"/>
        <sz val="10"/>
        <rFont val="Times New Roman"/>
        <family val="1"/>
      </rPr>
      <t>2</t>
    </r>
  </si>
  <si>
    <t xml:space="preserve">Coating of walls with 3 layers of plaster of  class B </t>
  </si>
  <si>
    <t xml:space="preserve">construction of valve chamber for the tap </t>
  </si>
  <si>
    <t xml:space="preserve">Supply and fix hydraulic equipements including water meter </t>
  </si>
  <si>
    <t>Partial Rehabilitation of 5 m3 capacity reservoirs</t>
  </si>
  <si>
    <t>Supply and coating some external parts(cover,hydraulic connections,..) of the tank with 3 layers of "Epoxy" paint</t>
  </si>
  <si>
    <r>
      <t>m</t>
    </r>
    <r>
      <rPr>
        <vertAlign val="superscript"/>
        <sz val="12"/>
        <color theme="1"/>
        <rFont val="Times New Roman"/>
        <family val="1"/>
      </rPr>
      <t>2</t>
    </r>
    <r>
      <rPr>
        <sz val="10"/>
        <rFont val="Arial"/>
        <family val="2"/>
      </rPr>
      <t/>
    </r>
  </si>
  <si>
    <t>Rehabilitation of valve chamber, including all necessary according to technical specification</t>
  </si>
  <si>
    <t>Rehabilitation ejection work including all necessary according to technical specification</t>
  </si>
  <si>
    <t>Partial Rehabilitation of 10 m3 capacity reservoirs</t>
  </si>
  <si>
    <t>Supply and fix hydraulic equipements and water meter at the outlets pipes of the chamber</t>
  </si>
  <si>
    <t>Partial Rehabilitation of 15 m3 capacity reservoirs</t>
  </si>
  <si>
    <t>Partial Rehabilitation of 25 m3 capacity reservoirs</t>
  </si>
  <si>
    <t>Partial Rehabilitation of 50 m3 capacity reservoirs</t>
  </si>
  <si>
    <t>Air Release  #(1.6×1.6×1.2m)</t>
  </si>
  <si>
    <t>#</t>
  </si>
  <si>
    <t>SUBTOTAL OF 1 Res. 50m3</t>
  </si>
  <si>
    <t>HDPE PIPE DN 40 NP 16</t>
  </si>
  <si>
    <t>HDPE PIPE DN 50 NP16</t>
  </si>
  <si>
    <t>HDPE PIPE DN 32 NP 16</t>
  </si>
  <si>
    <t>HDPE PIPE DN 63 NP 16</t>
  </si>
  <si>
    <t>HDPE PIPE DN 75 NP 16</t>
  </si>
  <si>
    <t>HDPE PIPE DN 90 NP 16</t>
  </si>
  <si>
    <t>HDPE PIPE DN 110 NP16</t>
  </si>
  <si>
    <t>HDPE PIPE DN 125 NP16</t>
  </si>
  <si>
    <t>HDPE PIPE DN 140 NP 16</t>
  </si>
  <si>
    <t>HDPE PIPE DN 160 NP 16</t>
  </si>
  <si>
    <t>PUMPING STATION at MBIRURUME (MUGANO)</t>
  </si>
  <si>
    <t>Reservoir of 200 m3 capacity (Sunction Tank)</t>
  </si>
  <si>
    <t>4.1.1.13</t>
  </si>
  <si>
    <t>4.1.1.14</t>
  </si>
  <si>
    <t>4.1.1.15</t>
  </si>
  <si>
    <t>4.1.1.16</t>
  </si>
  <si>
    <t>4.1.1.17</t>
  </si>
  <si>
    <t>4.1.1.18</t>
  </si>
  <si>
    <t>4.1.1.19</t>
  </si>
  <si>
    <t>4.1.1.20</t>
  </si>
  <si>
    <t>4.1.1.21</t>
  </si>
  <si>
    <t>4.1.1.22</t>
  </si>
  <si>
    <t>4.1.1.23</t>
  </si>
  <si>
    <t>4.1.1.24</t>
  </si>
  <si>
    <t>4.1.1.25</t>
  </si>
  <si>
    <t>4.1.1.26</t>
  </si>
  <si>
    <t>4.1.1.27</t>
  </si>
  <si>
    <t>4.1.1.28</t>
  </si>
  <si>
    <t>4.1.1.29</t>
  </si>
  <si>
    <t>4.1.1.30</t>
  </si>
  <si>
    <t>4.1.1.31</t>
  </si>
  <si>
    <t>4.1.1.32</t>
  </si>
  <si>
    <t>4.1.1.33</t>
  </si>
  <si>
    <t>4.1.1.34</t>
  </si>
  <si>
    <t>4.1.1.35</t>
  </si>
  <si>
    <t>4.1.1.36</t>
  </si>
  <si>
    <t>SUBTOTAL 4.1.1:For  1 Res. 200m3:</t>
  </si>
  <si>
    <t xml:space="preserve">Pumping hall and development of the place for Trated water  </t>
  </si>
  <si>
    <t>4.1.2.1.1</t>
  </si>
  <si>
    <t>4.1.2.1.2</t>
  </si>
  <si>
    <t>4.1.2.1.3</t>
  </si>
  <si>
    <t>4.1.2.1.4</t>
  </si>
  <si>
    <t>4.1.2.1.5</t>
  </si>
  <si>
    <t>4.1.2.1.6</t>
  </si>
  <si>
    <t>4.1.2.1.7</t>
  </si>
  <si>
    <t>4.1.2.1.8</t>
  </si>
  <si>
    <t>4.1.2.1.9</t>
  </si>
  <si>
    <t>4.1.2.1.10</t>
  </si>
  <si>
    <t>4.1.2.1.11</t>
  </si>
  <si>
    <t>4.1.2.1.12</t>
  </si>
  <si>
    <t>4.1.2.1.13</t>
  </si>
  <si>
    <t>4.1.2.1.14</t>
  </si>
  <si>
    <t>Internal  wall sides plastering with a thin coat of plastic mortar</t>
  </si>
  <si>
    <t>4.1.2.1.15</t>
  </si>
  <si>
    <t>4.1.2.1.16</t>
  </si>
  <si>
    <t>4.1.2.1.17</t>
  </si>
  <si>
    <t>4.1.2.1.18</t>
  </si>
  <si>
    <t>4.1.2.1.19</t>
  </si>
  <si>
    <t>4.1.2.1.20</t>
  </si>
  <si>
    <t>Supply and installation of a mechanical hoist (500 Kg)</t>
  </si>
  <si>
    <t>4.1.2.1.21</t>
  </si>
  <si>
    <t>4.1.2.1.22</t>
  </si>
  <si>
    <t>4.1.2.1.23</t>
  </si>
  <si>
    <t>4.1.2.1.24</t>
  </si>
  <si>
    <t>4.1.2.1.25</t>
  </si>
  <si>
    <t>4.1.2.1.26</t>
  </si>
  <si>
    <t>4.1.2.1.27</t>
  </si>
  <si>
    <t>4.1.2.1.28</t>
  </si>
  <si>
    <t>4.1.2.1.29</t>
  </si>
  <si>
    <t>4.1.2.1.30</t>
  </si>
  <si>
    <t xml:space="preserve"> Supply and installation of  two units of Pumps (  Q = 210m3/hr, TDH = 290m ) and their equivalent motors (with max power of (165.95kW) with Electrical Command Board and  other accessories including installation Automatic Switch Water tank float- Electric water level switch (Water pump float switch) and Automatic Water Pump Pressure Controller  Electronic Switch Control Unit( for Treated water) </t>
  </si>
  <si>
    <t>4.1.2.1.32</t>
  </si>
  <si>
    <r>
      <t>Supply and installation of a counter water hammer vassel of 6</t>
    </r>
    <r>
      <rPr>
        <sz val="9"/>
        <color theme="1"/>
        <rFont val="Arial"/>
        <family val="2"/>
      </rPr>
      <t xml:space="preserve">0 </t>
    </r>
    <r>
      <rPr>
        <sz val="9"/>
        <rFont val="Arial"/>
        <family val="2"/>
      </rPr>
      <t>bars and 1500 litres capacity</t>
    </r>
  </si>
  <si>
    <t>4.1.2.1.33</t>
  </si>
  <si>
    <t>4.1.2.1.34</t>
  </si>
  <si>
    <t>4.1.2.1.35</t>
  </si>
  <si>
    <t>4.1.2.1.36</t>
  </si>
  <si>
    <t>4.1.2.1.37</t>
  </si>
  <si>
    <t>4.1.2.2.1</t>
  </si>
  <si>
    <t>SUBTOTAL 4.1.2:</t>
  </si>
  <si>
    <t>4.1.3.16</t>
  </si>
  <si>
    <t>4.1.3.17</t>
  </si>
  <si>
    <t>4.1.3.18</t>
  </si>
  <si>
    <r>
      <t>m</t>
    </r>
    <r>
      <rPr>
        <vertAlign val="superscript"/>
        <sz val="9"/>
        <rFont val="Arial"/>
        <family val="2"/>
      </rPr>
      <t>2</t>
    </r>
  </si>
  <si>
    <t>4.1.3.19</t>
  </si>
  <si>
    <t>4.1.3.20</t>
  </si>
  <si>
    <t>4.1.3.21</t>
  </si>
  <si>
    <t>4.1.3.22</t>
  </si>
  <si>
    <t>4.1.3.23</t>
  </si>
  <si>
    <t>4.1.3.24</t>
  </si>
  <si>
    <t>4.1.3.25</t>
  </si>
  <si>
    <t>SUBTOTAL 4.1.3:</t>
  </si>
  <si>
    <t>4.1.4.16</t>
  </si>
  <si>
    <t>4.1.4.17</t>
  </si>
  <si>
    <t>4.1.4.18</t>
  </si>
  <si>
    <t>4.1.4.19</t>
  </si>
  <si>
    <t>4.1.4.20</t>
  </si>
  <si>
    <t>4.1.4.21</t>
  </si>
  <si>
    <t>4.1.4.22</t>
  </si>
  <si>
    <t>4.1.4.23</t>
  </si>
  <si>
    <t>4.1.4.24</t>
  </si>
  <si>
    <t>SUBTOTAL 4.1.4:</t>
  </si>
  <si>
    <t>Construction and equipments of technical place, electric line Medium voltage (MV)</t>
  </si>
  <si>
    <t>Internal coating</t>
  </si>
  <si>
    <t>4.1.5.15</t>
  </si>
  <si>
    <t>Applying two layers of paint for doors and windows</t>
  </si>
  <si>
    <t>4.1.5.16</t>
  </si>
  <si>
    <t>Supply and fix of metal tubes 60x40 mm for struts</t>
  </si>
  <si>
    <t>4.1.5.17</t>
  </si>
  <si>
    <t>Supply and fix of metal tubes 40x40 mm for purlins</t>
  </si>
  <si>
    <t>4.1.5.18</t>
  </si>
  <si>
    <t>4.1.5.19</t>
  </si>
  <si>
    <t>Supply and fix of mechanical hoist (1.0 ton)</t>
  </si>
  <si>
    <t>4.1.5.20</t>
  </si>
  <si>
    <t>Supply and laying of cover of embossed sheet iron</t>
  </si>
  <si>
    <t>4.1.5.21</t>
  </si>
  <si>
    <t>Supply and laying of a metal gutter</t>
  </si>
  <si>
    <t>4.1.5.22</t>
  </si>
  <si>
    <t>Supply and laying of a metal  facia board</t>
  </si>
  <si>
    <t>4.1.5.23</t>
  </si>
  <si>
    <t xml:space="preserve">Supply and installation including fittings, of a PVC down pipe 110 and disposal of rainwater </t>
  </si>
  <si>
    <t>4.1.5.24</t>
  </si>
  <si>
    <t>Supply and fix of a double full metal door (1.50 x2.30 m) including safety lock</t>
  </si>
  <si>
    <t>4.1.5.25</t>
  </si>
  <si>
    <t>Supply and fix of a metallic glass window (NACO), size (1.00 x2.00 m)</t>
  </si>
  <si>
    <t>4.1.5.26</t>
  </si>
  <si>
    <t>Supply and installation of fence for closing in the transformer room</t>
  </si>
  <si>
    <t>BoQ for Electrical materials (Overhead MV line: 2 Km)</t>
  </si>
  <si>
    <t>4.1.5.27</t>
  </si>
  <si>
    <t>4.1.5.28</t>
  </si>
  <si>
    <t>4.1.5.29</t>
  </si>
  <si>
    <t>4.1.5.30</t>
  </si>
  <si>
    <t>4.1.5.31</t>
  </si>
  <si>
    <t>4.1.5.32</t>
  </si>
  <si>
    <t>4.1.5.33</t>
  </si>
  <si>
    <t>Transformer 310kVA,30/0.4KV</t>
  </si>
  <si>
    <t>4.1.5.34</t>
  </si>
  <si>
    <t>4.1.5.35</t>
  </si>
  <si>
    <t>Equiped Distribution box with circuit breaker 380A or 400A</t>
  </si>
  <si>
    <t>4.1.5.36</t>
  </si>
  <si>
    <t>4.1.5.37</t>
  </si>
  <si>
    <t>4.1.5.38</t>
  </si>
  <si>
    <t>4.1.5.39</t>
  </si>
  <si>
    <t>Cable lugs 70mmq</t>
  </si>
  <si>
    <t>4.1.5.40</t>
  </si>
  <si>
    <t>Parallel groove 70mmq</t>
  </si>
  <si>
    <t>4.1.5.41</t>
  </si>
  <si>
    <t>4.1.5.42</t>
  </si>
  <si>
    <t>SUBTOTAL 4.1.5:</t>
  </si>
  <si>
    <t>SUBTOTAL 4.1:</t>
  </si>
  <si>
    <t>Pipes</t>
  </si>
  <si>
    <t>Corresponding casing</t>
  </si>
  <si>
    <t>no of casing</t>
  </si>
  <si>
    <t>HPDE end cup DN 32 PN16</t>
  </si>
  <si>
    <t>HPDE end cup DN 40 PN16</t>
  </si>
  <si>
    <t>HPDE end cup DN 50 PN16</t>
  </si>
  <si>
    <t>HPDE end cup DN 63 PN16</t>
  </si>
  <si>
    <t>HPDE end cup DN 75 PN16</t>
  </si>
  <si>
    <t>HPDE end cup DN90 PN16</t>
  </si>
  <si>
    <t>HPDE end cup DN 110 PN16</t>
  </si>
  <si>
    <t>HPDE end cup DN 125 PN16</t>
  </si>
  <si>
    <t>HPDE end cup DN 140 PN16</t>
  </si>
  <si>
    <t>Clamp saddle for HDPE pipes DN 40x3/4''</t>
  </si>
  <si>
    <t>Clamp saddle for HDPE pipes DN 50x1''</t>
  </si>
  <si>
    <t>Clamp saddle for HDPE pipes DN 63x3/4''</t>
  </si>
  <si>
    <t>Clamp saddle for HDPE pipes DN 63x1''</t>
  </si>
  <si>
    <t>Clamp saddle for HDPE pipes DN 75x1''</t>
  </si>
  <si>
    <t>Clamp saddle for HDPE pipes DN 90x1''</t>
  </si>
  <si>
    <t>Clamp saddle for HDPE pipes DN 110x1''</t>
  </si>
  <si>
    <t>Clamp saddle for HDPE pipes DN 125x1''</t>
  </si>
  <si>
    <t>Clamp saddle for HDPE pipes DN140 x1''</t>
  </si>
  <si>
    <t>HDPE socket coupling DN 25 PN16</t>
  </si>
  <si>
    <t>HDPE socket coupling DN 32 PN16</t>
  </si>
  <si>
    <t>HDPE socket coupling DN 40 PN16</t>
  </si>
  <si>
    <t>HDPE socket coupling DN 50 PN16</t>
  </si>
  <si>
    <t>HDPE socket coupling DN 63 PN16</t>
  </si>
  <si>
    <t>HDPE socket coupling DN 75 PN16</t>
  </si>
  <si>
    <t>HDPE socket coupling DN 90 PN16</t>
  </si>
  <si>
    <t>HDPE socket coupling DN 110 PN16</t>
  </si>
  <si>
    <t>HDPE socket coupling DN 125 PN16</t>
  </si>
  <si>
    <t>HDPE socket coupling DN 140 PN16</t>
  </si>
  <si>
    <t>HDPE socket coupling DN 160 PN16</t>
  </si>
  <si>
    <t>HDPE socket coupling DN 200 PN16</t>
  </si>
  <si>
    <t>HDPE socket coupling DN 250 PN16</t>
  </si>
  <si>
    <t>HDPE socket coupling DN 315 PN16</t>
  </si>
  <si>
    <t>HDPE PIPE ND 32 NP 16</t>
  </si>
  <si>
    <t>HDPE PIPE ND 40 NP 16</t>
  </si>
  <si>
    <t>HDPE PIPE ND 50 NP16</t>
  </si>
  <si>
    <t>HDPE PIPE ND 63 NP 16</t>
  </si>
  <si>
    <t>HDPE PIPE ND 75 NP 16</t>
  </si>
  <si>
    <t>HDPE PIPE ND 90 NP 16</t>
  </si>
  <si>
    <t>HDPE PIPE ND 110 NP16</t>
  </si>
  <si>
    <t>HDPE PIPE ND 125 NP16</t>
  </si>
  <si>
    <t>HDPE PIPE ND 140 NP 16</t>
  </si>
  <si>
    <t>HDPE PIPE ND 160 NP 16</t>
  </si>
  <si>
    <t>HDPE PIPE ND 200 NP 16</t>
  </si>
  <si>
    <t>HDPE PIPE ND 250 NP 16</t>
  </si>
  <si>
    <t>HDPE PIPE ND 315 NP 16</t>
  </si>
  <si>
    <t>Casing with G.S 7" pipes</t>
  </si>
  <si>
    <t>Enter Even number only here</t>
  </si>
  <si>
    <t>SUBTOTAL of 66 Air Release</t>
  </si>
  <si>
    <t>SUBTOTAL of 66 Washout</t>
  </si>
  <si>
    <t>SUBTOTAL 4.1.4 (For 66  Valve chamber)</t>
  </si>
  <si>
    <t>SUBTOTAL OF 66 Res. 25m3</t>
  </si>
  <si>
    <t>SUBTOTAL OF Res. 20m3</t>
  </si>
  <si>
    <r>
      <t>SUBTOTAL OF 66Res. 100m</t>
    </r>
    <r>
      <rPr>
        <b/>
        <vertAlign val="superscript"/>
        <sz val="12"/>
        <rFont val="Arial"/>
        <family val="2"/>
      </rPr>
      <t>3</t>
    </r>
  </si>
  <si>
    <t>SUBTOTAL of 66 Res. 125m3:</t>
  </si>
  <si>
    <r>
      <t>SUBTOTAL OF 66 Res. 200m</t>
    </r>
    <r>
      <rPr>
        <b/>
        <vertAlign val="superscript"/>
        <sz val="10"/>
        <rFont val="Arial"/>
        <family val="2"/>
      </rPr>
      <t>3</t>
    </r>
  </si>
  <si>
    <r>
      <t>SUBTOTAL OF 66Res. 400m</t>
    </r>
    <r>
      <rPr>
        <b/>
        <vertAlign val="superscript"/>
        <sz val="12"/>
        <rFont val="Arial"/>
        <family val="2"/>
      </rPr>
      <t>3</t>
    </r>
  </si>
  <si>
    <t>SUBTOTAL OF 66 Res. 500m3</t>
  </si>
  <si>
    <t xml:space="preserve">SUBTOTAL  of  …….. CATCHMENT OF  SOURCES </t>
  </si>
  <si>
    <t>SUBTOTAL  of  …….. Rehabilitation Res5m3:</t>
  </si>
  <si>
    <t>SUBTOTAL  of  …….. Rehabilitation Res 10m3:</t>
  </si>
  <si>
    <t>SUBTOTAL  of  …….. Rehabilitation Res 15m3:</t>
  </si>
  <si>
    <t>SUBTOTAL  of  …….. Rehabilitation Res 25:</t>
  </si>
  <si>
    <t>SUBTOTAL  of  ……..Rehabilitation Res 50 m3 :</t>
  </si>
  <si>
    <t>Sub Total of 4.1.3:</t>
  </si>
  <si>
    <t>STARTING CHAMBER # (2.9×2.2×1.2m)</t>
  </si>
  <si>
    <t>Hardcore (stones pitching) of 30 cm with voids full with cement and sand mortar mix of ratio 1 to 10 respectively</t>
  </si>
  <si>
    <t>Blind with concrete class C, thickness 5 cm</t>
  </si>
  <si>
    <t>Reinforced concrete for the roof ,class A</t>
  </si>
  <si>
    <t>Supply and apply 3 layers of paints "Sikalatex"</t>
  </si>
  <si>
    <t>Plaster on upper side of the roof  slab with a rough mortar class B</t>
  </si>
  <si>
    <t>Supply and fix of the metallic cover of 60 X 60 X 0.3 cm  with a ventilation shaft at the top and the mosquito screen</t>
  </si>
  <si>
    <t>Supply and fix of an iron ladder embedded in the wall, painted with 3 layers of paint "rust preventive", the step=25cm</t>
  </si>
  <si>
    <t>Supply and installation of hydraulic equipment and Fittings for connection of starting chamber including pH statilization</t>
  </si>
  <si>
    <t>SUBTOTAL of 3  Intake Chambers</t>
  </si>
  <si>
    <t>COLLECTION CHAMBER  # (2.5×2.2×1.5m)</t>
  </si>
  <si>
    <r>
      <t>m</t>
    </r>
    <r>
      <rPr>
        <vertAlign val="superscript"/>
        <sz val="10"/>
        <color theme="1"/>
        <rFont val="Arial"/>
        <family val="2"/>
      </rPr>
      <t>3</t>
    </r>
  </si>
  <si>
    <t xml:space="preserve">Masonry walls in stone, with fair face pointed at the joints </t>
  </si>
  <si>
    <t>Coating of the internal face of wall of the chamber with 3 water proofing coats</t>
  </si>
  <si>
    <r>
      <t>m</t>
    </r>
    <r>
      <rPr>
        <vertAlign val="superscript"/>
        <sz val="10"/>
        <color theme="1"/>
        <rFont val="Arial"/>
        <family val="2"/>
      </rPr>
      <t>2</t>
    </r>
    <r>
      <rPr>
        <sz val="10"/>
        <rFont val="Arial"/>
        <family val="2"/>
      </rPr>
      <t/>
    </r>
  </si>
  <si>
    <r>
      <t>Coating of the internal face of wall of the inspection chamber with 3 layers of plaster of 300 kg/m</t>
    </r>
    <r>
      <rPr>
        <vertAlign val="superscript"/>
        <sz val="10"/>
        <color theme="1"/>
        <rFont val="Arial"/>
        <family val="2"/>
      </rPr>
      <t>3</t>
    </r>
  </si>
  <si>
    <t>Supply and apply 3 layers of paints "Skalatex"</t>
  </si>
  <si>
    <t>Supply a fixed iron ladder for interior access embedded in the wall, painted with 3 layers of paint "rust preventive", with 2m of height</t>
  </si>
  <si>
    <t>Supply and installation of hydraulic equipment and Fittings for connection of  automatic collection  (All valve of PN16).</t>
  </si>
  <si>
    <t>Rejection works</t>
  </si>
  <si>
    <t>Sub-total</t>
  </si>
  <si>
    <t>SUBTOTAL of 1 collection chamber</t>
  </si>
  <si>
    <t>Construction of the Kiosk with double taps</t>
  </si>
  <si>
    <t>Preliminary works</t>
  </si>
  <si>
    <t>Cutting and filling for leveling</t>
  </si>
  <si>
    <r>
      <t>m</t>
    </r>
    <r>
      <rPr>
        <vertAlign val="superscript"/>
        <sz val="12"/>
        <color theme="1"/>
        <rFont val="Garamond"/>
        <family val="1"/>
      </rPr>
      <t>3</t>
    </r>
  </si>
  <si>
    <t>Foundation</t>
  </si>
  <si>
    <t>Excavation</t>
  </si>
  <si>
    <t>Masonry with stones for foundation</t>
  </si>
  <si>
    <t xml:space="preserve">Concrete for leveling  foundations </t>
  </si>
  <si>
    <r>
      <t>m</t>
    </r>
    <r>
      <rPr>
        <vertAlign val="superscript"/>
        <sz val="12"/>
        <color theme="1"/>
        <rFont val="Garamond"/>
        <family val="1"/>
      </rPr>
      <t>2</t>
    </r>
  </si>
  <si>
    <t xml:space="preserve">Damp proofing  against humidity </t>
  </si>
  <si>
    <t xml:space="preserve">Masonary  </t>
  </si>
  <si>
    <t>Masonry in burnt bricks with external joints pointed</t>
  </si>
  <si>
    <t>Ventilator in concrete blocks</t>
  </si>
  <si>
    <t>Concrete</t>
  </si>
  <si>
    <t>Roofing</t>
  </si>
  <si>
    <t>Wooden struts 100 X 50 X 5 (mm)</t>
  </si>
  <si>
    <t>Wooden purlins 40 X 40 X 3 (mm)</t>
  </si>
  <si>
    <t>Rafters in right angled triangle</t>
  </si>
  <si>
    <t>Facia board in wood</t>
  </si>
  <si>
    <t>Pile in metalic tubes 60 x 40 x 3 mm</t>
  </si>
  <si>
    <t>Cover</t>
  </si>
  <si>
    <t>Cover of tile in blue prepainted autoportant</t>
  </si>
  <si>
    <t>Shutters</t>
  </si>
  <si>
    <t>Metallic simple door semi glazed with burglar proofs</t>
  </si>
  <si>
    <t>Hardwood doors</t>
  </si>
  <si>
    <t>Glazed Metallic window  with burglar proofs 100X120 cm</t>
  </si>
  <si>
    <t>Paving</t>
  </si>
  <si>
    <t>Floor  with smooth finish</t>
  </si>
  <si>
    <t>Splash apron and  water channel</t>
  </si>
  <si>
    <t>Plastering</t>
  </si>
  <si>
    <t>Plastering of the interial walls</t>
  </si>
  <si>
    <t>Plinth</t>
  </si>
  <si>
    <t>Ceiling to Eaves</t>
  </si>
  <si>
    <t>Carten rail and box assembly</t>
  </si>
  <si>
    <t>Paint</t>
  </si>
  <si>
    <t>Latex paints on walls</t>
  </si>
  <si>
    <t xml:space="preserve">Enamel paint </t>
  </si>
  <si>
    <t>Varnish on flash or solid timber doors</t>
  </si>
  <si>
    <t>Varnish on Eave ceiling</t>
  </si>
  <si>
    <t>4.3.3.13</t>
  </si>
  <si>
    <r>
      <t>Soakaway pit 1.5 m</t>
    </r>
    <r>
      <rPr>
        <vertAlign val="superscript"/>
        <sz val="12"/>
        <color theme="1"/>
        <rFont val="Garamond"/>
        <family val="1"/>
      </rPr>
      <t>3</t>
    </r>
    <r>
      <rPr>
        <sz val="12"/>
        <color theme="1"/>
        <rFont val="Garamond"/>
        <family val="1"/>
      </rPr>
      <t>, full of gravel and hardcore covered by concret slabs for acquisition of water that have not entered in jerrycans</t>
    </r>
  </si>
  <si>
    <t>4.3.3.14</t>
  </si>
  <si>
    <t xml:space="preserve">Supply and installation of hydraulic equipment and Fittings including volumetric water meter with at least nominal flow rate of 1.5m3/h and max admissible pressure of 16 bar </t>
  </si>
  <si>
    <t>Sub total of BFK</t>
  </si>
  <si>
    <t>SUBTOTAL of  …. BFK:</t>
  </si>
  <si>
    <t>SUBTOTAL 4.3 of  WATER POINTS:</t>
  </si>
  <si>
    <t xml:space="preserve">Partial Rehabilitation  of  Public 1tap stand </t>
  </si>
  <si>
    <t>SUBTOTAL  of  …….Rehabilitation Public 1tap stand :</t>
  </si>
  <si>
    <t>3.9.4</t>
  </si>
  <si>
    <t>Rehabilitation of the Kiosk with double taps</t>
  </si>
  <si>
    <t>3.9.4.1</t>
  </si>
  <si>
    <t>3.9.4.2</t>
  </si>
  <si>
    <t>3.9.4.3</t>
  </si>
  <si>
    <t>3.9.4.4</t>
  </si>
  <si>
    <t>3.9.4.5</t>
  </si>
  <si>
    <t>3.9.4.6</t>
  </si>
  <si>
    <t>3.9.4.7</t>
  </si>
  <si>
    <t>3.9.4.8</t>
  </si>
  <si>
    <t>3.9.4.9</t>
  </si>
  <si>
    <t>3.9.4.10</t>
  </si>
  <si>
    <t>3.9.4.11</t>
  </si>
  <si>
    <t>SUBTOTAL of 5 BFK:</t>
  </si>
  <si>
    <t>CONTENTS</t>
  </si>
  <si>
    <t>SITE PRELIMINARIES</t>
  </si>
  <si>
    <t>SUPPLY AND LAYING PIPES</t>
  </si>
  <si>
    <t xml:space="preserve">Preparation of the site according to technical specifications;acces road, mobilization of the material and its transport on the site, installation of the site, storage, guarding, including the toilet of the personnel. The installation includes the water connection  on the existing network. Site preparation also includes, site clearance, removal of top soil, levelling or any shaping necessary to the installations of the site together with all the cut and fill necessary to this end. The estimated cost for this item is maintained all through to the completion of the works. </t>
  </si>
  <si>
    <t>Design review and production of work execution documents, and including all accruals, and as built plans documents (soft and hard copies)</t>
  </si>
  <si>
    <r>
      <t>m</t>
    </r>
    <r>
      <rPr>
        <vertAlign val="superscript"/>
        <sz val="11"/>
        <color theme="1"/>
        <rFont val="Arial"/>
        <family val="2"/>
      </rPr>
      <t>2</t>
    </r>
    <r>
      <rPr>
        <sz val="10"/>
        <rFont val="Arial"/>
        <family val="2"/>
      </rPr>
      <t/>
    </r>
  </si>
  <si>
    <r>
      <t>m</t>
    </r>
    <r>
      <rPr>
        <vertAlign val="superscript"/>
        <sz val="11"/>
        <color theme="1"/>
        <rFont val="Arial"/>
        <family val="2"/>
      </rPr>
      <t>3</t>
    </r>
  </si>
  <si>
    <t>Increase in Value for hard soil</t>
  </si>
  <si>
    <t>Increase in Value for rock soil</t>
  </si>
  <si>
    <t xml:space="preserve">Supply and fix  18m PVC strainer DE75 DN60 PN10 to 20 cm of the tablecloth and routing of water in pipe PVC DE63 DN50 PN10 of the strainer to the starting chamber at 12 m, including all accruals </t>
  </si>
  <si>
    <t xml:space="preserve">Excavate a trench of protection of the source up to 80 cm depth. The bottom width 50 cm, including all accruals. </t>
  </si>
  <si>
    <t>2.3.1</t>
  </si>
  <si>
    <t>2.3.2</t>
  </si>
  <si>
    <t>2.3.3</t>
  </si>
  <si>
    <t>2.3.4</t>
  </si>
  <si>
    <t>2.3.5</t>
  </si>
  <si>
    <t>2.3.6</t>
  </si>
  <si>
    <t>2.3.7</t>
  </si>
  <si>
    <t>2.3.8</t>
  </si>
  <si>
    <t>2.3.9</t>
  </si>
  <si>
    <t>2.3.10</t>
  </si>
  <si>
    <t>2.3.11</t>
  </si>
  <si>
    <t>2.3.12</t>
  </si>
  <si>
    <t>2.3.13</t>
  </si>
  <si>
    <t>SUBTOTAL DIVISION 2.3:</t>
  </si>
  <si>
    <t>HDPE DN32 PN16</t>
  </si>
  <si>
    <t>HDPE DN40 PN16</t>
  </si>
  <si>
    <t>HDPE DN50 PN16</t>
  </si>
  <si>
    <t>HDPE DN63 PN16</t>
  </si>
  <si>
    <t>2.4.1</t>
  </si>
  <si>
    <t>2.4.2</t>
  </si>
  <si>
    <t>2.4.3</t>
  </si>
  <si>
    <t>2.4.4</t>
  </si>
  <si>
    <t>2.4.5</t>
  </si>
  <si>
    <t>2.4.6</t>
  </si>
  <si>
    <t>2.4.7</t>
  </si>
  <si>
    <t>2.4.8</t>
  </si>
  <si>
    <t>2.4.9</t>
  </si>
  <si>
    <t>2.4.10</t>
  </si>
  <si>
    <t>2.4.11</t>
  </si>
  <si>
    <t>2.4.12</t>
  </si>
  <si>
    <t>2.4.13</t>
  </si>
  <si>
    <t>The earthwork, trenches backfilling and land remediation at natural surface ground,and installation of concrete terminals and warning taps for pipeline protection.</t>
  </si>
  <si>
    <t>Supply, fix, and pressure testing for watertightness of pipes PN16 including lubricants and seals.</t>
  </si>
  <si>
    <t>Earthwork by excavation , backfilling and installation of concrete terminals and warning taps for pipeline protection.</t>
  </si>
  <si>
    <t>Excavation and backfilling  of Trenche  with 1.2 x0.6 m  (according to Wasac standard)  depth , including all accruals.</t>
  </si>
  <si>
    <t>Supply and installation of rectangular reinforced concrete terminals, concrete C20/25, (painted blue and numbered) on the route of the pipeline; dim.0.15 m * 0.15 m * 0.8m , every 100m and at each change of direction.</t>
  </si>
  <si>
    <t>Supply and placement of warning taps all accruals included.</t>
  </si>
  <si>
    <t>Supply and installation of pipelines</t>
  </si>
  <si>
    <t>Walls in stones masonry jointed with a mortar of  class D</t>
  </si>
  <si>
    <r>
      <t>m</t>
    </r>
    <r>
      <rPr>
        <vertAlign val="superscript"/>
        <sz val="11"/>
        <color theme="1"/>
        <rFont val="Arial"/>
        <family val="2"/>
      </rPr>
      <t>2</t>
    </r>
  </si>
  <si>
    <t>Supply and installation of hydraulic equipment and Fittings for connection of washout</t>
  </si>
  <si>
    <t>CONSTRUCTION OF  VALVE BRANCHES CHAMBERS  # (1.8×1.8×1.2m)</t>
  </si>
  <si>
    <t>4.1.8</t>
  </si>
  <si>
    <r>
      <t>Coating of the internal side of wall of the inspection chamber with plaster of 300 kg/m</t>
    </r>
    <r>
      <rPr>
        <vertAlign val="superscript"/>
        <sz val="11"/>
        <color theme="1"/>
        <rFont val="Arial"/>
        <family val="2"/>
      </rPr>
      <t>3</t>
    </r>
    <r>
      <rPr>
        <sz val="11"/>
        <color theme="1"/>
        <rFont val="Arial"/>
        <family val="2"/>
      </rPr>
      <t xml:space="preserve"> ciment mixture</t>
    </r>
  </si>
  <si>
    <r>
      <t>Soakaway pit 1 m</t>
    </r>
    <r>
      <rPr>
        <vertAlign val="superscript"/>
        <sz val="11"/>
        <color theme="1"/>
        <rFont val="Arial"/>
        <family val="2"/>
      </rPr>
      <t>3</t>
    </r>
    <r>
      <rPr>
        <sz val="11"/>
        <color theme="1"/>
        <rFont val="Arial"/>
        <family val="2"/>
      </rPr>
      <t>, full of gravel and hardcore (stones pitching)</t>
    </r>
  </si>
  <si>
    <t>WATER POINT</t>
  </si>
  <si>
    <t xml:space="preserve">Construction of Water point with double taps for community  </t>
  </si>
  <si>
    <r>
      <t>Coating of walls with plaster of 300 kg/m</t>
    </r>
    <r>
      <rPr>
        <vertAlign val="superscript"/>
        <sz val="11"/>
        <color theme="1"/>
        <rFont val="Arial"/>
        <family val="2"/>
      </rPr>
      <t>3</t>
    </r>
  </si>
  <si>
    <t>Supply and installation of all hydraulic equipment and Fittings including volumetric water meter with at least nominal flow rate of 1.5m3/h and max admissible pressure of 16 bar</t>
  </si>
  <si>
    <t>SUBTOTAL 4.3:</t>
  </si>
  <si>
    <t>Supply and installation of hydraulic equipment and Fittings for connection of  automatic valve chamber  (All valve of PN16).</t>
  </si>
  <si>
    <t>3.2.1.1</t>
  </si>
  <si>
    <r>
      <t>m</t>
    </r>
    <r>
      <rPr>
        <vertAlign val="superscript"/>
        <sz val="12"/>
        <color indexed="8"/>
        <rFont val="Times New Roman"/>
        <family val="1"/>
      </rPr>
      <t>3</t>
    </r>
  </si>
  <si>
    <t>3.2.1.2</t>
  </si>
  <si>
    <t>3.2.1.3</t>
  </si>
  <si>
    <t>3.2.1.4</t>
  </si>
  <si>
    <t>3.2.1.5</t>
  </si>
  <si>
    <t>3.2.1.6</t>
  </si>
  <si>
    <t>3.2.1.7</t>
  </si>
  <si>
    <r>
      <t>m</t>
    </r>
    <r>
      <rPr>
        <vertAlign val="superscript"/>
        <sz val="12"/>
        <color indexed="8"/>
        <rFont val="Times New Roman"/>
        <family val="1"/>
      </rPr>
      <t>2</t>
    </r>
  </si>
  <si>
    <t>3.2.1.8</t>
  </si>
  <si>
    <t>3.2.1.9</t>
  </si>
  <si>
    <t>3.2.1.10</t>
  </si>
  <si>
    <t>3.2.1.11</t>
  </si>
  <si>
    <t>3.2.1.12</t>
  </si>
  <si>
    <t>3.2.1.13</t>
  </si>
  <si>
    <t>3.2.1.14</t>
  </si>
  <si>
    <t>3.2.1.15</t>
  </si>
  <si>
    <t>3.2.1.16</t>
  </si>
  <si>
    <t>3.2.1.17</t>
  </si>
  <si>
    <t>3.2.1.18</t>
  </si>
  <si>
    <t>3.2.1.19</t>
  </si>
  <si>
    <t>3.2.1.20</t>
  </si>
  <si>
    <t>3.2.1.21</t>
  </si>
  <si>
    <t>3.2.1.22</t>
  </si>
  <si>
    <t>3.2.1.23</t>
  </si>
  <si>
    <t>3.2.1.24</t>
  </si>
  <si>
    <t>3.2.1.25</t>
  </si>
  <si>
    <t>3.2.1.26</t>
  </si>
  <si>
    <t>3.2.1.27</t>
  </si>
  <si>
    <t>3.2.1.28</t>
  </si>
  <si>
    <t>3.2.1.29</t>
  </si>
  <si>
    <r>
      <t>Coating of walls with plaster of 300 kg/m</t>
    </r>
    <r>
      <rPr>
        <vertAlign val="superscript"/>
        <sz val="12"/>
        <color indexed="8"/>
        <rFont val="Times New Roman"/>
        <family val="1"/>
      </rPr>
      <t xml:space="preserve">3 </t>
    </r>
    <r>
      <rPr>
        <sz val="12"/>
        <color indexed="8"/>
        <rFont val="Times New Roman"/>
        <family val="1"/>
      </rPr>
      <t>cement mixture</t>
    </r>
  </si>
  <si>
    <r>
      <t>Soakaway pit 1 m</t>
    </r>
    <r>
      <rPr>
        <vertAlign val="superscript"/>
        <sz val="12"/>
        <color indexed="8"/>
        <rFont val="Times New Roman"/>
        <family val="1"/>
      </rPr>
      <t>3</t>
    </r>
    <r>
      <rPr>
        <sz val="12"/>
        <color indexed="8"/>
        <rFont val="Times New Roman"/>
        <family val="1"/>
      </rPr>
      <t>, full of gravel and hardcore (stones pitching)</t>
    </r>
  </si>
  <si>
    <r>
      <t>m</t>
    </r>
    <r>
      <rPr>
        <vertAlign val="superscript"/>
        <sz val="12"/>
        <color theme="1"/>
        <rFont val="Times New Roman"/>
        <family val="1"/>
      </rPr>
      <t>3</t>
    </r>
  </si>
  <si>
    <t xml:space="preserve">CONSTRUCTION OF REINFORCED CONCRETE RESERVOIR OF 100 m3 </t>
  </si>
  <si>
    <r>
      <t>Supply and installation of hydraulic equipment and Fittings for connection of 100m</t>
    </r>
    <r>
      <rPr>
        <vertAlign val="superscript"/>
        <sz val="12"/>
        <color indexed="8"/>
        <rFont val="Times New Roman"/>
        <family val="1"/>
      </rPr>
      <t>3</t>
    </r>
    <r>
      <rPr>
        <sz val="12"/>
        <color indexed="8"/>
        <rFont val="Times New Roman"/>
        <family val="1"/>
      </rPr>
      <t xml:space="preserve"> reservoir </t>
    </r>
  </si>
  <si>
    <r>
      <t>SUBTOTAL OF 1R100m</t>
    </r>
    <r>
      <rPr>
        <b/>
        <vertAlign val="superscript"/>
        <sz val="12"/>
        <rFont val="Times New Roman"/>
        <family val="1"/>
      </rPr>
      <t>3</t>
    </r>
  </si>
  <si>
    <t>BOQ GATARE WATER SUPPLY SYSTEM</t>
  </si>
  <si>
    <t>4.1.7</t>
  </si>
  <si>
    <t>CATCHMENT OF SOURCE  0.01l/s</t>
  </si>
  <si>
    <t>SUBTOTAL DIVISION 2.4:</t>
  </si>
  <si>
    <t>SUBTOTAL DIVISION 2.4 OF 1 SOURCE:</t>
  </si>
  <si>
    <t>CATCHMENT OF SOURCE  0.02l/s</t>
  </si>
  <si>
    <t>CATCHMENT OF SOURCE  0.03l/s</t>
  </si>
  <si>
    <t>CATCHMENT OF SOURCE  0.08l/s</t>
  </si>
  <si>
    <t>CATCHMENT OF KIRORWE SOURCE  0.1l/s</t>
  </si>
  <si>
    <t>SUBTOTAL DIVISION 2.1 OF 1 SOURCE:</t>
  </si>
  <si>
    <t>CATCHMENT OF RWAMIYOGOMA SOURCE  0.12l/s</t>
  </si>
  <si>
    <t>SUBTOTAL DIVISION 2.3 OF 1 SOURCE:</t>
  </si>
  <si>
    <t>CATCHMENT OF KAGAMBA 2 SOURCE  0.13l/s</t>
  </si>
  <si>
    <t>CATCHMENT OF KAGAMBA 2 SOURCE  0.15l/s</t>
  </si>
  <si>
    <t>CATCHMENT OF SHORI 2 SOURCES 0.19l/s</t>
  </si>
  <si>
    <t>SUBTOTAL DIVISION 2.2 OF 1 SOURCE:</t>
  </si>
  <si>
    <t>CATCHMENT OF   4 SOURCES 0.2l/s</t>
  </si>
  <si>
    <t>CATCHMENT OF NYARUSHISHATI 3 SOURCES 0.34l/s</t>
  </si>
  <si>
    <t>CATCHMENT OF RUGOGWE 2 SOURCE 0.8l/s</t>
  </si>
  <si>
    <t xml:space="preserve">REHABILITATION WORKS </t>
  </si>
  <si>
    <t xml:space="preserve">REHABILITATION OF CATCHMENT OF 0.06 L/S SOURCES </t>
  </si>
  <si>
    <t>Sub Total</t>
  </si>
  <si>
    <t>SUBTOTAL  of 1 SOURCE</t>
  </si>
  <si>
    <t xml:space="preserve">REHABILITATION OF CATCHMENT OF 0.1 L/S SOURCES </t>
  </si>
  <si>
    <t xml:space="preserve">REHABILITATION OF CATCHMENT OF 0.15 L/S SOURCES </t>
  </si>
  <si>
    <t xml:space="preserve">REHABILITATION OF CATCHMENT OF 0.2 L/S SOURCES </t>
  </si>
  <si>
    <t>SUBTOTAL  of 2 SOURCES</t>
  </si>
  <si>
    <t>REHABILITATION OF CATCHMENT OF  SOURCES (0.25L/S)</t>
  </si>
  <si>
    <t>SUBTOTAL  of  1 SOURCE :</t>
  </si>
  <si>
    <t>REHABILITATION OF CATCHMENT OF  SOURCES (0.27L/S)</t>
  </si>
  <si>
    <t xml:space="preserve">REHABILITATION OF CATCHMENT OF   0.4 SOURCES </t>
  </si>
  <si>
    <t>4.1.9</t>
  </si>
  <si>
    <t>4.1.10</t>
  </si>
  <si>
    <t>4.1.11</t>
  </si>
  <si>
    <t>4.1.13</t>
  </si>
  <si>
    <t>4.1.14</t>
  </si>
  <si>
    <t>4.1 SUBTOTAL  of  1 Source:</t>
  </si>
  <si>
    <t>DRINKING WATER SUPPLY OF RUBAVU DISTRICT</t>
  </si>
  <si>
    <r>
      <t>Soakaway pit 1 m</t>
    </r>
    <r>
      <rPr>
        <vertAlign val="superscript"/>
        <sz val="12"/>
        <color indexed="8"/>
        <rFont val="Garamond"/>
        <family val="1"/>
      </rPr>
      <t>3</t>
    </r>
    <r>
      <rPr>
        <sz val="12"/>
        <color indexed="8"/>
        <rFont val="Garamond"/>
        <family val="1"/>
      </rPr>
      <t xml:space="preserve">, </t>
    </r>
    <r>
      <rPr>
        <sz val="12"/>
        <color rgb="FF000000"/>
        <rFont val="Arial"/>
        <family val="2"/>
      </rPr>
      <t>full of gravel and hardcore (stones pitching)</t>
    </r>
  </si>
  <si>
    <r>
      <t>Coating of walls with plaster of 300 kg/m</t>
    </r>
    <r>
      <rPr>
        <vertAlign val="superscript"/>
        <sz val="12"/>
        <color indexed="8"/>
        <rFont val="Garamond"/>
        <family val="1"/>
      </rPr>
      <t>3</t>
    </r>
    <r>
      <rPr>
        <vertAlign val="superscript"/>
        <sz val="12"/>
        <color rgb="FF000000"/>
        <rFont val="Arial"/>
        <family val="2"/>
      </rPr>
      <t xml:space="preserve"> </t>
    </r>
    <r>
      <rPr>
        <sz val="12"/>
        <color rgb="FF000000"/>
        <rFont val="Arial"/>
        <family val="2"/>
      </rPr>
      <t>cement mixture</t>
    </r>
  </si>
  <si>
    <r>
      <t>Supply and installation of hydraulic equipment and Fittings for connection of 100m</t>
    </r>
    <r>
      <rPr>
        <vertAlign val="superscript"/>
        <sz val="12"/>
        <color indexed="8"/>
        <rFont val="Garamond"/>
        <family val="1"/>
      </rPr>
      <t>3</t>
    </r>
    <r>
      <rPr>
        <sz val="12"/>
        <color indexed="8"/>
        <rFont val="Garamond"/>
        <family val="1"/>
      </rPr>
      <t xml:space="preserve"> </t>
    </r>
    <r>
      <rPr>
        <sz val="12"/>
        <color rgb="FF000000"/>
        <rFont val="Arial"/>
        <family val="2"/>
      </rPr>
      <t>reservoir</t>
    </r>
    <r>
      <rPr>
        <sz val="12"/>
        <color indexed="8"/>
        <rFont val="Garamond"/>
        <family val="1"/>
      </rPr>
      <t xml:space="preserve"> </t>
    </r>
  </si>
  <si>
    <r>
      <t xml:space="preserve">KANEMBWE GRAVITY WATER SUPPLY SYSTEM 1.804 </t>
    </r>
    <r>
      <rPr>
        <b/>
        <sz val="15"/>
        <color theme="1" tint="0.14999847407452621"/>
        <rFont val="Times New Roman"/>
        <family val="1"/>
      </rPr>
      <t>Km</t>
    </r>
  </si>
  <si>
    <t>3.1.1</t>
  </si>
  <si>
    <t>3.1.1.1</t>
  </si>
  <si>
    <t>3.1.1.2</t>
  </si>
  <si>
    <t>3.1.1.3</t>
  </si>
  <si>
    <t>3.1.1.4</t>
  </si>
  <si>
    <t>3.1.1.5</t>
  </si>
  <si>
    <t>3.1.1.6</t>
  </si>
  <si>
    <t>3.1.1.7</t>
  </si>
  <si>
    <t>3.1.1.8</t>
  </si>
  <si>
    <t>3.1.1.9</t>
  </si>
  <si>
    <t>3.1.1.10</t>
  </si>
  <si>
    <t>3.1.1.11</t>
  </si>
  <si>
    <t>3.1.1.12</t>
  </si>
  <si>
    <t>3.1.2</t>
  </si>
  <si>
    <t>3.1.2.1</t>
  </si>
  <si>
    <t>3.1.2.2</t>
  </si>
  <si>
    <t>3.1.2.3</t>
  </si>
  <si>
    <t>3.1.2.4</t>
  </si>
  <si>
    <t>3.1.2.5</t>
  </si>
  <si>
    <t>3.1.2.6</t>
  </si>
  <si>
    <t>3.1.2.7</t>
  </si>
  <si>
    <t>3.1.2.8</t>
  </si>
  <si>
    <t>3.1.2.9</t>
  </si>
  <si>
    <t>3.1.2.10</t>
  </si>
  <si>
    <t>3.1.2.11</t>
  </si>
  <si>
    <t>3.1.2.12</t>
  </si>
  <si>
    <t>3.1.2.13</t>
  </si>
  <si>
    <t>3.1.3</t>
  </si>
  <si>
    <t>3.1.3.1</t>
  </si>
  <si>
    <t>3.1.3.2</t>
  </si>
  <si>
    <t>3.1.3.3</t>
  </si>
  <si>
    <t>3.1.3.4</t>
  </si>
  <si>
    <t>3.1.3.5</t>
  </si>
  <si>
    <t>3.1.3.6</t>
  </si>
  <si>
    <t>3.1.3.7</t>
  </si>
  <si>
    <t>3.1.3.8</t>
  </si>
  <si>
    <t>3.1.3.9</t>
  </si>
  <si>
    <t>3.1.3.10</t>
  </si>
  <si>
    <t>3.1.3.11</t>
  </si>
  <si>
    <t>SUBTOTAL 3.1 OF INSPECTION CHAMBERS :</t>
  </si>
  <si>
    <t>3.3.1</t>
  </si>
  <si>
    <t>3.3.1.1</t>
  </si>
  <si>
    <t>3.3.1.2</t>
  </si>
  <si>
    <t>3.3.1.3</t>
  </si>
  <si>
    <t>3.3.1.4</t>
  </si>
  <si>
    <t>3.3.1.5</t>
  </si>
  <si>
    <t>3.3.1.6</t>
  </si>
  <si>
    <t>3.3.1.7</t>
  </si>
  <si>
    <t>3.3.1.8</t>
  </si>
  <si>
    <t>3.3.1.9</t>
  </si>
  <si>
    <t>3.3.1.10</t>
  </si>
  <si>
    <t>3.3.1.11</t>
  </si>
  <si>
    <t>3.3.1.12</t>
  </si>
  <si>
    <t>Sub total 3.3.1:</t>
  </si>
  <si>
    <t>Total for 2 Water taps</t>
  </si>
  <si>
    <t>SUBTOTAL of  2 BFK:</t>
  </si>
  <si>
    <t>3.3.2</t>
  </si>
  <si>
    <t>3.3.2.1</t>
  </si>
  <si>
    <t>3.3.2.2</t>
  </si>
  <si>
    <t>3.3.2.3</t>
  </si>
  <si>
    <t>3.3.2.4</t>
  </si>
  <si>
    <t>3.3.2.5</t>
  </si>
  <si>
    <t>3.3.2.6</t>
  </si>
  <si>
    <t>3.3.2.7</t>
  </si>
  <si>
    <t>3.3.2.8</t>
  </si>
  <si>
    <t>3.3.2.9</t>
  </si>
  <si>
    <t>3.3.2.10</t>
  </si>
  <si>
    <t>3.3.2.11</t>
  </si>
  <si>
    <t>3.3.2.12</t>
  </si>
  <si>
    <t>3.3.2.13</t>
  </si>
  <si>
    <t>3.3.2.14</t>
  </si>
  <si>
    <r>
      <t>Soakaway pit 1.5 m</t>
    </r>
    <r>
      <rPr>
        <vertAlign val="superscript"/>
        <sz val="10"/>
        <color theme="1"/>
        <rFont val="Garamond"/>
        <family val="1"/>
      </rPr>
      <t>3</t>
    </r>
    <r>
      <rPr>
        <sz val="10"/>
        <color theme="1"/>
        <rFont val="Garamond"/>
        <family val="1"/>
      </rPr>
      <t>,</t>
    </r>
    <r>
      <rPr>
        <b/>
        <sz val="10"/>
        <color theme="1"/>
        <rFont val="Garamond"/>
        <family val="1"/>
      </rPr>
      <t xml:space="preserve"> </t>
    </r>
    <r>
      <rPr>
        <b/>
        <sz val="10"/>
        <color theme="1"/>
        <rFont val="Arial"/>
        <family val="2"/>
      </rPr>
      <t>full of gravel and hardcore covered by concret slabs for acquisition of water that have not entered in jerrycans</t>
    </r>
  </si>
  <si>
    <t>SUBTOTAL 2.2:</t>
  </si>
  <si>
    <t>SUBTOTAL DIVISION 2:</t>
  </si>
  <si>
    <t>AMOUNT (RWF)</t>
  </si>
  <si>
    <t>AMOUNT (USD)</t>
  </si>
  <si>
    <t>RESERVOIR</t>
  </si>
  <si>
    <t xml:space="preserve">CONSTRUCTION OF REINFORCED CONCRETE RESERVOIR OF 150 m3 </t>
  </si>
  <si>
    <t>Reinforce concrete raft foundation. dosage 350 kg/m3</t>
  </si>
  <si>
    <t>Valve Chamber #3.374x4x1.5 int#</t>
  </si>
  <si>
    <t>SUB-TOTAL FOR THE MAIN TANK R100 m3</t>
  </si>
  <si>
    <t>SUB-TOTAL FOR THE REJECTION WORK</t>
  </si>
  <si>
    <t>SUB-TOTAL FOR THE VALVE CHAMBER</t>
  </si>
  <si>
    <r>
      <t>Grand Total for R100 m</t>
    </r>
    <r>
      <rPr>
        <b/>
        <vertAlign val="superscript"/>
        <sz val="12"/>
        <rFont val="Times New Roman"/>
        <family val="1"/>
      </rPr>
      <t>3</t>
    </r>
  </si>
  <si>
    <t>CONSTRUCTION OF WATER COLLECTION FACILITIES/TAPS</t>
  </si>
  <si>
    <t xml:space="preserve">Construction of Water Collection Facilities with double taps </t>
  </si>
  <si>
    <t>Sub Total for One Water Collection Facility</t>
  </si>
  <si>
    <t xml:space="preserve">Total For 2 Water Collection Facilities/Taps </t>
  </si>
  <si>
    <t xml:space="preserve">Construction of 2 Water Kiosks/Houses </t>
  </si>
  <si>
    <t>CONSTRUCTION OF WATER KIOSKS/HOUSES ALONG THE MAIN ROAD IN THE COMMUNITY</t>
  </si>
  <si>
    <r>
      <t>m</t>
    </r>
    <r>
      <rPr>
        <vertAlign val="superscript"/>
        <sz val="11"/>
        <color indexed="8"/>
        <rFont val="Arial"/>
        <family val="2"/>
      </rPr>
      <t>3</t>
    </r>
  </si>
  <si>
    <r>
      <t>Coating of walls with plaster of 300 kg/m</t>
    </r>
    <r>
      <rPr>
        <vertAlign val="superscript"/>
        <sz val="11"/>
        <color indexed="8"/>
        <rFont val="Arial"/>
        <family val="2"/>
      </rPr>
      <t xml:space="preserve">3 </t>
    </r>
    <r>
      <rPr>
        <sz val="11"/>
        <color indexed="8"/>
        <rFont val="Arial"/>
        <family val="2"/>
      </rPr>
      <t>cement mixture</t>
    </r>
  </si>
  <si>
    <r>
      <t>m</t>
    </r>
    <r>
      <rPr>
        <vertAlign val="superscript"/>
        <sz val="11"/>
        <color indexed="8"/>
        <rFont val="Arial"/>
        <family val="2"/>
      </rPr>
      <t>2</t>
    </r>
  </si>
  <si>
    <r>
      <t>Soakaway pit 1 m</t>
    </r>
    <r>
      <rPr>
        <vertAlign val="superscript"/>
        <sz val="11"/>
        <color indexed="8"/>
        <rFont val="Arial"/>
        <family val="2"/>
      </rPr>
      <t>3</t>
    </r>
    <r>
      <rPr>
        <sz val="11"/>
        <color indexed="8"/>
        <rFont val="Arial"/>
        <family val="2"/>
      </rPr>
      <t>, full of gravel and hardcore (stones pitching)</t>
    </r>
  </si>
  <si>
    <r>
      <t>m</t>
    </r>
    <r>
      <rPr>
        <vertAlign val="superscript"/>
        <sz val="11"/>
        <color theme="1"/>
        <rFont val="Garamond"/>
        <family val="1"/>
      </rPr>
      <t>3</t>
    </r>
  </si>
  <si>
    <r>
      <t>m</t>
    </r>
    <r>
      <rPr>
        <vertAlign val="superscript"/>
        <sz val="11"/>
        <color theme="1"/>
        <rFont val="Garamond"/>
        <family val="1"/>
      </rPr>
      <t>2</t>
    </r>
  </si>
  <si>
    <r>
      <t>Soakaway pit 1.5 m</t>
    </r>
    <r>
      <rPr>
        <vertAlign val="superscript"/>
        <sz val="11"/>
        <color theme="1"/>
        <rFont val="Garamond"/>
        <family val="1"/>
      </rPr>
      <t>3</t>
    </r>
    <r>
      <rPr>
        <sz val="11"/>
        <color theme="1"/>
        <rFont val="Garamond"/>
        <family val="1"/>
      </rPr>
      <t xml:space="preserve">, </t>
    </r>
    <r>
      <rPr>
        <sz val="11"/>
        <color theme="1"/>
        <rFont val="Arial"/>
        <family val="2"/>
      </rPr>
      <t xml:space="preserve">full of gravel and hardcore covered by concret slabs </t>
    </r>
  </si>
  <si>
    <t xml:space="preserve">SUB-TOTAL FOR THE FOUNDATION </t>
  </si>
  <si>
    <t>SUB-TOTAL FOR MASONARY WORK</t>
  </si>
  <si>
    <t xml:space="preserve">SUB-TOTAL FOR ROOFING </t>
  </si>
  <si>
    <t>SUB-TOTAL FOR COVER, SHUTTERS, PAVING,PLASTERING, CEILING, PAINTING</t>
  </si>
  <si>
    <t>SUB-TOTAL SOAKAWAY&amp;HYDRAULIC EQUIP</t>
  </si>
  <si>
    <t>TOTAL FOR 1 WATER KIOSK/HOUSE</t>
  </si>
  <si>
    <t>GRAND TOTAL FOR 2 WATER KIOSKS/HOUSES</t>
  </si>
  <si>
    <t>GRAND TOTAL FOR THE WHOLE PROJECT</t>
  </si>
  <si>
    <t>SUB-TOTALFOR PRELIMINARY WORKS</t>
  </si>
  <si>
    <t>SUB-TOTAL FOR EARTHWORK</t>
  </si>
  <si>
    <t>SUBTOTAL FOR PIPING WORKS</t>
  </si>
  <si>
    <t>3.1.1.13</t>
  </si>
  <si>
    <t>3.1.1.14</t>
  </si>
  <si>
    <t>3.1.1.15</t>
  </si>
  <si>
    <t>3.1.1.16</t>
  </si>
  <si>
    <t>3.1.1.17</t>
  </si>
  <si>
    <t>3.1.1.18</t>
  </si>
  <si>
    <t>3.1.1.19</t>
  </si>
  <si>
    <t>3.1.1.20</t>
  </si>
  <si>
    <t>3.1.1.21</t>
  </si>
  <si>
    <t>3.1.1.22</t>
  </si>
  <si>
    <t>3.1.1.23</t>
  </si>
  <si>
    <t>3.1.1.24</t>
  </si>
  <si>
    <t>3.1.1.25</t>
  </si>
  <si>
    <t>3.1.1.26</t>
  </si>
  <si>
    <t>3.1.1.27</t>
  </si>
  <si>
    <t>3.1.1.28</t>
  </si>
  <si>
    <t>ALL PHASES COMBINED</t>
  </si>
  <si>
    <t>DRINKING WATER SUPPLY PROJECT</t>
  </si>
  <si>
    <t xml:space="preserve">KANEMBWE COMMUNITY-WESTERN RWANDA </t>
  </si>
  <si>
    <t xml:space="preserve">ESTIMATED BILLS OF QUANTITIES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</si>
</sst>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 _€"/>
    <numFmt numFmtId="165" formatCode="_-* #,##0.00\ _F_-;\-* #,##0.00\ _F_-;_-* &quot;-&quot;??\ _F_-;_-@_-"/>
    <numFmt numFmtId="166" formatCode="_(* #,##0_);_(* \(#,##0\);_(* &quot;-&quot;??_);_(@_)"/>
    <numFmt numFmtId="167" formatCode="_-* #,##0_-;\-* #,##0_-;_-* &quot;-&quot;??_-;_-@_-"/>
    <numFmt numFmtId="168" formatCode="_-* #,##0.00_-;\-* #,##0.00_-;_-* &quot;-&quot;??_-;_-@_-"/>
    <numFmt numFmtId="169" formatCode="#,##0\ \F"/>
    <numFmt numFmtId="170" formatCode="0.000"/>
    <numFmt numFmtId="171" formatCode="_(* #,##0.0_);_(* \(#,##0.0\);_(* &quot;-&quot;??_);_(@_)"/>
  </numFmts>
  <fonts count="89" x14ac:knownFonts="1">
    <font>
      <sz val="11"/>
      <color theme="1"/>
      <name val="Calibri"/>
      <family val="2"/>
      <scheme val="minor"/>
    </font>
    <font>
      <sz val="11"/>
      <color theme="1"/>
      <name val="Calibri"/>
      <family val="2"/>
      <scheme val="minor"/>
    </font>
    <font>
      <sz val="10"/>
      <name val="Arial"/>
      <family val="2"/>
    </font>
    <font>
      <sz val="12"/>
      <color theme="1"/>
      <name val="Times New Roman"/>
      <family val="1"/>
    </font>
    <font>
      <sz val="12"/>
      <name val="Times New Roman"/>
      <family val="1"/>
    </font>
    <font>
      <b/>
      <sz val="12"/>
      <name val="Times New Roman"/>
      <family val="1"/>
    </font>
    <font>
      <sz val="12"/>
      <color indexed="8"/>
      <name val="Times New Roman"/>
      <family val="1"/>
    </font>
    <font>
      <b/>
      <sz val="12"/>
      <color theme="1"/>
      <name val="Times New Roman"/>
      <family val="1"/>
    </font>
    <font>
      <vertAlign val="superscript"/>
      <sz val="12"/>
      <name val="Times New Roman"/>
      <family val="1"/>
    </font>
    <font>
      <b/>
      <i/>
      <sz val="12"/>
      <name val="Times New Roman"/>
      <family val="1"/>
    </font>
    <font>
      <i/>
      <sz val="12"/>
      <name val="Times New Roman"/>
      <family val="1"/>
    </font>
    <font>
      <sz val="11"/>
      <color theme="1"/>
      <name val="Times New Roman"/>
      <family val="1"/>
    </font>
    <font>
      <b/>
      <sz val="11"/>
      <name val="Arial"/>
      <family val="2"/>
    </font>
    <font>
      <b/>
      <vertAlign val="superscript"/>
      <sz val="11"/>
      <name val="Arial"/>
      <family val="2"/>
    </font>
    <font>
      <sz val="11"/>
      <name val="Arial"/>
      <family val="2"/>
    </font>
    <font>
      <vertAlign val="superscript"/>
      <sz val="11"/>
      <name val="Arial"/>
      <family val="2"/>
    </font>
    <font>
      <b/>
      <sz val="9"/>
      <name val="Arial"/>
      <family val="2"/>
    </font>
    <font>
      <sz val="9"/>
      <name val="Arial"/>
      <family val="2"/>
    </font>
    <font>
      <sz val="10"/>
      <color theme="1"/>
      <name val="Arial"/>
      <family val="2"/>
    </font>
    <font>
      <b/>
      <sz val="10"/>
      <color theme="1"/>
      <name val="Arial"/>
      <family val="2"/>
    </font>
    <font>
      <sz val="12"/>
      <color theme="1"/>
      <name val="Cambria"/>
      <family val="1"/>
    </font>
    <font>
      <sz val="12"/>
      <color theme="0"/>
      <name val="Cambria"/>
      <family val="1"/>
    </font>
    <font>
      <b/>
      <sz val="10"/>
      <name val="Arial"/>
      <family val="2"/>
    </font>
    <font>
      <vertAlign val="superscript"/>
      <sz val="12"/>
      <color indexed="8"/>
      <name val="Garamond"/>
      <family val="1"/>
    </font>
    <font>
      <sz val="12"/>
      <color indexed="8"/>
      <name val="Garamond"/>
      <family val="1"/>
    </font>
    <font>
      <b/>
      <vertAlign val="superscript"/>
      <sz val="10"/>
      <name val="Arial"/>
      <family val="2"/>
    </font>
    <font>
      <vertAlign val="superscript"/>
      <sz val="9"/>
      <name val="Arial"/>
      <family val="2"/>
    </font>
    <font>
      <sz val="9"/>
      <color theme="1"/>
      <name val="Arial"/>
      <family val="2"/>
    </font>
    <font>
      <b/>
      <sz val="16"/>
      <color theme="1"/>
      <name val="Calibri"/>
      <family val="2"/>
      <scheme val="minor"/>
    </font>
    <font>
      <b/>
      <sz val="16"/>
      <name val="Times New Roman"/>
      <family val="1"/>
    </font>
    <font>
      <b/>
      <sz val="18"/>
      <color theme="1"/>
      <name val="Calibri"/>
      <family val="2"/>
      <scheme val="minor"/>
    </font>
    <font>
      <vertAlign val="superscript"/>
      <sz val="10"/>
      <name val="Arial"/>
      <family val="2"/>
    </font>
    <font>
      <b/>
      <sz val="12"/>
      <name val="Arial"/>
      <family val="2"/>
    </font>
    <font>
      <sz val="12"/>
      <name val="Arial"/>
      <family val="2"/>
    </font>
    <font>
      <b/>
      <vertAlign val="superscript"/>
      <sz val="12"/>
      <name val="Arial"/>
      <family val="2"/>
    </font>
    <font>
      <sz val="12"/>
      <color theme="1"/>
      <name val="Garamond"/>
      <family val="1"/>
    </font>
    <font>
      <b/>
      <sz val="12"/>
      <color theme="1"/>
      <name val="Garamond"/>
      <family val="1"/>
    </font>
    <font>
      <vertAlign val="superscript"/>
      <sz val="12"/>
      <color theme="1"/>
      <name val="Times New Roman"/>
      <family val="1"/>
    </font>
    <font>
      <b/>
      <sz val="12"/>
      <name val="Garamond"/>
      <family val="1"/>
    </font>
    <font>
      <sz val="10"/>
      <name val="Times New Roman"/>
      <family val="1"/>
    </font>
    <font>
      <vertAlign val="superscript"/>
      <sz val="10"/>
      <name val="Times New Roman"/>
      <family val="1"/>
    </font>
    <font>
      <b/>
      <sz val="11"/>
      <color theme="1"/>
      <name val="Times New Roman"/>
      <family val="1"/>
    </font>
    <font>
      <b/>
      <sz val="14"/>
      <name val="Times New Roman"/>
      <family val="1"/>
    </font>
    <font>
      <b/>
      <sz val="13"/>
      <name val="Arial"/>
      <family val="2"/>
    </font>
    <font>
      <sz val="8"/>
      <name val="Calibri"/>
      <family val="2"/>
      <scheme val="minor"/>
    </font>
    <font>
      <b/>
      <sz val="14"/>
      <color theme="1"/>
      <name val="Calibri"/>
      <family val="2"/>
      <scheme val="minor"/>
    </font>
    <font>
      <sz val="11"/>
      <name val="Calibri"/>
      <family val="2"/>
      <scheme val="minor"/>
    </font>
    <font>
      <b/>
      <sz val="11"/>
      <color theme="1"/>
      <name val="Calibri"/>
      <family val="2"/>
      <scheme val="minor"/>
    </font>
    <font>
      <sz val="10"/>
      <color theme="1"/>
      <name val="Times New Roman"/>
      <family val="1"/>
    </font>
    <font>
      <vertAlign val="superscript"/>
      <sz val="10"/>
      <color theme="1"/>
      <name val="Arial"/>
      <family val="2"/>
    </font>
    <font>
      <vertAlign val="superscript"/>
      <sz val="12"/>
      <color theme="1"/>
      <name val="Garamond"/>
      <family val="1"/>
    </font>
    <font>
      <b/>
      <sz val="14"/>
      <color theme="1"/>
      <name val="Times New Roman"/>
      <family val="1"/>
    </font>
    <font>
      <b/>
      <sz val="14"/>
      <color rgb="FF000000"/>
      <name val="Times New Roman"/>
      <family val="1"/>
    </font>
    <font>
      <sz val="14"/>
      <color theme="1"/>
      <name val="Times New Roman"/>
      <family val="1"/>
    </font>
    <font>
      <sz val="14"/>
      <name val="Times New Roman"/>
      <family val="1"/>
    </font>
    <font>
      <sz val="11"/>
      <color theme="1"/>
      <name val="Arial"/>
      <family val="2"/>
    </font>
    <font>
      <b/>
      <sz val="11"/>
      <color theme="1"/>
      <name val="Arial"/>
      <family val="2"/>
    </font>
    <font>
      <sz val="11"/>
      <color rgb="FF000000"/>
      <name val="Arial"/>
      <family val="2"/>
    </font>
    <font>
      <vertAlign val="superscript"/>
      <sz val="11"/>
      <color theme="1"/>
      <name val="Arial"/>
      <family val="2"/>
    </font>
    <font>
      <sz val="11"/>
      <color theme="1" tint="4.9989318521683403E-2"/>
      <name val="Arial"/>
      <family val="2"/>
    </font>
    <font>
      <i/>
      <sz val="11"/>
      <color theme="1"/>
      <name val="Arial"/>
      <family val="2"/>
    </font>
    <font>
      <b/>
      <i/>
      <sz val="12"/>
      <color theme="1"/>
      <name val="Times New Roman"/>
      <family val="1"/>
    </font>
    <font>
      <sz val="12"/>
      <color theme="0"/>
      <name val="Times New Roman"/>
      <family val="1"/>
    </font>
    <font>
      <vertAlign val="superscript"/>
      <sz val="12"/>
      <color indexed="8"/>
      <name val="Times New Roman"/>
      <family val="1"/>
    </font>
    <font>
      <b/>
      <vertAlign val="superscript"/>
      <sz val="12"/>
      <name val="Times New Roman"/>
      <family val="1"/>
    </font>
    <font>
      <sz val="11"/>
      <color theme="1" tint="0.14999847407452621"/>
      <name val="Arial"/>
      <family val="2"/>
    </font>
    <font>
      <sz val="12"/>
      <color theme="1" tint="0.249977111117893"/>
      <name val="Times New Roman"/>
      <family val="1"/>
    </font>
    <font>
      <sz val="12"/>
      <color theme="1" tint="0.14999847407452621"/>
      <name val="Times New Roman"/>
      <family val="1"/>
    </font>
    <font>
      <sz val="12"/>
      <name val="Garamond"/>
      <family val="1"/>
    </font>
    <font>
      <sz val="12"/>
      <color rgb="FF000000"/>
      <name val="Arial"/>
      <family val="2"/>
    </font>
    <font>
      <vertAlign val="superscript"/>
      <sz val="12"/>
      <color rgb="FF000000"/>
      <name val="Arial"/>
      <family val="2"/>
    </font>
    <font>
      <sz val="12"/>
      <name val="Arial Black"/>
      <family val="2"/>
    </font>
    <font>
      <b/>
      <sz val="12"/>
      <name val="Arial Black"/>
      <family val="2"/>
    </font>
    <font>
      <sz val="15"/>
      <name val="Times New Roman"/>
      <family val="1"/>
    </font>
    <font>
      <b/>
      <sz val="15"/>
      <name val="Times New Roman"/>
      <family val="1"/>
    </font>
    <font>
      <sz val="15"/>
      <color theme="1"/>
      <name val="Times New Roman"/>
      <family val="1"/>
    </font>
    <font>
      <b/>
      <sz val="15"/>
      <color theme="1" tint="0.14999847407452621"/>
      <name val="Times New Roman"/>
      <family val="1"/>
    </font>
    <font>
      <vertAlign val="superscript"/>
      <sz val="10"/>
      <color theme="1"/>
      <name val="Garamond"/>
      <family val="1"/>
    </font>
    <font>
      <sz val="10"/>
      <color theme="1"/>
      <name val="Garamond"/>
      <family val="1"/>
    </font>
    <font>
      <b/>
      <sz val="10"/>
      <color theme="1"/>
      <name val="Garamond"/>
      <family val="1"/>
    </font>
    <font>
      <sz val="12"/>
      <color theme="1"/>
      <name val="Arial"/>
      <family val="2"/>
    </font>
    <font>
      <vertAlign val="superscript"/>
      <sz val="11"/>
      <color indexed="8"/>
      <name val="Arial"/>
      <family val="2"/>
    </font>
    <font>
      <sz val="11"/>
      <color indexed="8"/>
      <name val="Arial"/>
      <family val="2"/>
    </font>
    <font>
      <sz val="11"/>
      <name val="Times New Roman"/>
      <family val="1"/>
    </font>
    <font>
      <b/>
      <sz val="11"/>
      <name val="Times New Roman"/>
      <family val="1"/>
    </font>
    <font>
      <sz val="11"/>
      <color theme="1"/>
      <name val="Garamond"/>
      <family val="1"/>
    </font>
    <font>
      <vertAlign val="superscript"/>
      <sz val="11"/>
      <color theme="1"/>
      <name val="Garamond"/>
      <family val="1"/>
    </font>
    <font>
      <b/>
      <sz val="16"/>
      <color theme="1"/>
      <name val="Times New Roman"/>
      <family val="1"/>
    </font>
    <font>
      <b/>
      <sz val="18"/>
      <name val="Times New Roman"/>
      <family val="1"/>
    </font>
  </fonts>
  <fills count="2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bgColor indexed="64"/>
      </patternFill>
    </fill>
    <fill>
      <patternFill patternType="solid">
        <fgColor theme="3"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0"/>
      </left>
      <right style="thin">
        <color indexed="0"/>
      </right>
      <top/>
      <bottom/>
      <diagonal/>
    </border>
    <border>
      <left style="thin">
        <color indexed="0"/>
      </left>
      <right style="medium">
        <color indexed="0"/>
      </right>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0"/>
      </right>
      <top style="thin">
        <color indexed="0"/>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bottom style="thin">
        <color indexed="0"/>
      </bottom>
      <diagonal/>
    </border>
    <border>
      <left/>
      <right/>
      <top style="thin">
        <color indexed="0"/>
      </top>
      <bottom style="thin">
        <color indexed="0"/>
      </bottom>
      <diagonal/>
    </border>
    <border>
      <left/>
      <right style="medium">
        <color indexed="0"/>
      </right>
      <top style="thin">
        <color indexed="0"/>
      </top>
      <bottom style="thin">
        <color indexed="0"/>
      </bottom>
      <diagonal/>
    </border>
    <border>
      <left style="medium">
        <color indexed="64"/>
      </left>
      <right style="thin">
        <color indexed="0"/>
      </right>
      <top/>
      <bottom/>
      <diagonal/>
    </border>
    <border>
      <left style="thin">
        <color indexed="0"/>
      </left>
      <right style="medium">
        <color indexed="0"/>
      </right>
      <top style="thin">
        <color indexed="0"/>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theme="1"/>
      </bottom>
      <diagonal/>
    </border>
    <border>
      <left style="thin">
        <color indexed="64"/>
      </left>
      <right/>
      <top style="thin">
        <color indexed="64"/>
      </top>
      <bottom style="double">
        <color indexed="64"/>
      </bottom>
      <diagonal/>
    </border>
    <border>
      <left style="thin">
        <color theme="1"/>
      </left>
      <right style="thin">
        <color theme="1"/>
      </right>
      <top style="thin">
        <color theme="1"/>
      </top>
      <bottom style="thin">
        <color theme="1"/>
      </bottom>
      <diagonal/>
    </border>
    <border>
      <left/>
      <right style="medium">
        <color theme="1"/>
      </right>
      <top/>
      <bottom/>
      <diagonal/>
    </border>
    <border>
      <left/>
      <right style="medium">
        <color theme="1"/>
      </right>
      <top style="medium">
        <color theme="1"/>
      </top>
      <bottom/>
      <diagonal/>
    </border>
    <border>
      <left/>
      <right style="thin">
        <color theme="1"/>
      </right>
      <top/>
      <bottom/>
      <diagonal/>
    </border>
    <border>
      <left style="thin">
        <color indexed="64"/>
      </left>
      <right style="thin">
        <color theme="1"/>
      </right>
      <top/>
      <bottom/>
      <diagonal/>
    </border>
    <border>
      <left style="thin">
        <color indexed="64"/>
      </left>
      <right style="thin">
        <color theme="1"/>
      </right>
      <top style="thin">
        <color indexed="64"/>
      </top>
      <bottom style="thin">
        <color indexed="64"/>
      </bottom>
      <diagonal/>
    </border>
    <border>
      <left style="thin">
        <color theme="1"/>
      </left>
      <right style="medium">
        <color theme="1"/>
      </right>
      <top style="thin">
        <color theme="1"/>
      </top>
      <bottom style="thin">
        <color theme="1"/>
      </bottom>
      <diagonal/>
    </border>
    <border>
      <left style="thin">
        <color theme="1"/>
      </left>
      <right style="medium">
        <color theme="1"/>
      </right>
      <top style="thin">
        <color theme="1"/>
      </top>
      <bottom/>
      <diagonal/>
    </border>
    <border>
      <left style="thin">
        <color theme="1"/>
      </left>
      <right style="medium">
        <color theme="1"/>
      </right>
      <top/>
      <bottom/>
      <diagonal/>
    </border>
    <border>
      <left/>
      <right style="thin">
        <color theme="1"/>
      </right>
      <top style="thin">
        <color indexed="64"/>
      </top>
      <bottom style="thin">
        <color indexed="64"/>
      </bottom>
      <diagonal/>
    </border>
    <border>
      <left/>
      <right style="medium">
        <color theme="1"/>
      </right>
      <top style="thin">
        <color theme="1"/>
      </top>
      <bottom/>
      <diagonal/>
    </border>
    <border>
      <left style="thin">
        <color theme="1"/>
      </left>
      <right style="medium">
        <color theme="1"/>
      </right>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right style="medium">
        <color theme="1"/>
      </right>
      <top/>
      <bottom style="thin">
        <color theme="1"/>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0">
    <xf numFmtId="0" fontId="0" fillId="0" borderId="0"/>
    <xf numFmtId="43" fontId="1"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165" fontId="2" fillId="0" borderId="0" applyFont="0" applyFill="0" applyBorder="0" applyAlignment="0" applyProtection="0"/>
    <xf numFmtId="0" fontId="2" fillId="0" borderId="0"/>
    <xf numFmtId="0" fontId="1" fillId="0" borderId="0"/>
    <xf numFmtId="0" fontId="1" fillId="0" borderId="0"/>
    <xf numFmtId="165" fontId="2" fillId="0" borderId="0" applyFont="0" applyFill="0" applyBorder="0" applyAlignment="0" applyProtection="0"/>
  </cellStyleXfs>
  <cellXfs count="907">
    <xf numFmtId="0" fontId="0" fillId="0" borderId="0" xfId="0"/>
    <xf numFmtId="0" fontId="3" fillId="0" borderId="0" xfId="0" applyFont="1"/>
    <xf numFmtId="0" fontId="4" fillId="0" borderId="0" xfId="0" applyFont="1"/>
    <xf numFmtId="0" fontId="4" fillId="0" borderId="4" xfId="0" applyFont="1" applyBorder="1" applyAlignment="1">
      <alignment horizontal="right"/>
    </xf>
    <xf numFmtId="3" fontId="4" fillId="0" borderId="5" xfId="0" applyNumberFormat="1" applyFont="1" applyBorder="1" applyAlignment="1">
      <alignment horizontal="right"/>
    </xf>
    <xf numFmtId="0" fontId="4" fillId="0" borderId="0" xfId="0" applyFont="1" applyAlignment="1">
      <alignment horizontal="center" vertical="center"/>
    </xf>
    <xf numFmtId="3" fontId="4" fillId="0" borderId="0" xfId="0" applyNumberFormat="1" applyFont="1" applyAlignment="1">
      <alignment horizontal="center" vertical="center"/>
    </xf>
    <xf numFmtId="164" fontId="4" fillId="0" borderId="0" xfId="0" applyNumberFormat="1"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justify"/>
    </xf>
    <xf numFmtId="0" fontId="5" fillId="0" borderId="9" xfId="0" applyFont="1" applyBorder="1" applyAlignment="1">
      <alignment horizontal="center" vertical="center"/>
    </xf>
    <xf numFmtId="0" fontId="5" fillId="0" borderId="10" xfId="0" applyFont="1" applyBorder="1" applyAlignment="1">
      <alignment horizontal="center" vertical="center"/>
    </xf>
    <xf numFmtId="4" fontId="5" fillId="0" borderId="10" xfId="0" applyNumberFormat="1" applyFont="1" applyBorder="1" applyAlignment="1">
      <alignment horizontal="center" vertical="center"/>
    </xf>
    <xf numFmtId="4" fontId="5" fillId="0" borderId="11" xfId="0" applyNumberFormat="1" applyFont="1" applyBorder="1" applyAlignment="1">
      <alignment horizontal="center" vertical="center"/>
    </xf>
    <xf numFmtId="0" fontId="5" fillId="0" borderId="12" xfId="0" applyFont="1" applyBorder="1" applyAlignment="1">
      <alignment horizontal="center" vertical="center"/>
    </xf>
    <xf numFmtId="0" fontId="3" fillId="0" borderId="6" xfId="0" applyFont="1" applyBorder="1" applyAlignment="1">
      <alignment wrapText="1"/>
    </xf>
    <xf numFmtId="0" fontId="3" fillId="0" borderId="6" xfId="0" applyFont="1" applyBorder="1"/>
    <xf numFmtId="0" fontId="3" fillId="0" borderId="4" xfId="0" applyFont="1" applyBorder="1" applyAlignment="1">
      <alignment horizontal="center"/>
    </xf>
    <xf numFmtId="0" fontId="3" fillId="0" borderId="0" xfId="0" applyFont="1" applyAlignment="1">
      <alignment wrapText="1"/>
    </xf>
    <xf numFmtId="0" fontId="3" fillId="9" borderId="22" xfId="0" applyFont="1" applyFill="1" applyBorder="1" applyAlignment="1">
      <alignment horizontal="center"/>
    </xf>
    <xf numFmtId="0" fontId="5" fillId="9" borderId="23" xfId="0" applyFont="1" applyFill="1" applyBorder="1" applyAlignment="1">
      <alignment vertical="justify"/>
    </xf>
    <xf numFmtId="0" fontId="3" fillId="9" borderId="23" xfId="0" applyFont="1" applyFill="1" applyBorder="1"/>
    <xf numFmtId="0" fontId="4" fillId="3" borderId="6" xfId="0" applyFont="1" applyFill="1" applyBorder="1" applyAlignment="1">
      <alignment horizontal="center" vertical="justify"/>
    </xf>
    <xf numFmtId="3" fontId="4" fillId="3" borderId="6" xfId="0" applyNumberFormat="1" applyFont="1" applyFill="1" applyBorder="1" applyAlignment="1">
      <alignment horizontal="center" vertical="justify"/>
    </xf>
    <xf numFmtId="3" fontId="4" fillId="3" borderId="6" xfId="0" applyNumberFormat="1" applyFont="1" applyFill="1" applyBorder="1" applyAlignment="1">
      <alignment vertical="justify"/>
    </xf>
    <xf numFmtId="0" fontId="4" fillId="0" borderId="20" xfId="0" applyFont="1" applyBorder="1" applyAlignment="1">
      <alignment horizontal="right" vertical="justify"/>
    </xf>
    <xf numFmtId="0" fontId="4" fillId="0" borderId="6" xfId="0" applyFont="1" applyBorder="1" applyAlignment="1">
      <alignment vertical="justify"/>
    </xf>
    <xf numFmtId="0" fontId="4" fillId="0" borderId="6" xfId="0" applyFont="1" applyBorder="1" applyAlignment="1">
      <alignment horizontal="center" vertical="justify"/>
    </xf>
    <xf numFmtId="4" fontId="4" fillId="0" borderId="6" xfId="0" applyNumberFormat="1" applyFont="1" applyBorder="1" applyAlignment="1">
      <alignment horizontal="center" vertical="justify"/>
    </xf>
    <xf numFmtId="3" fontId="4" fillId="0" borderId="6" xfId="0" applyNumberFormat="1" applyFont="1" applyBorder="1" applyAlignment="1">
      <alignment vertical="justify"/>
    </xf>
    <xf numFmtId="3" fontId="4" fillId="0" borderId="21" xfId="0" applyNumberFormat="1" applyFont="1" applyBorder="1" applyAlignment="1">
      <alignment vertical="justify"/>
    </xf>
    <xf numFmtId="0" fontId="4" fillId="5" borderId="20" xfId="0" applyFont="1" applyFill="1" applyBorder="1" applyAlignment="1">
      <alignment horizontal="right" vertical="justify"/>
    </xf>
    <xf numFmtId="0" fontId="4" fillId="5" borderId="6" xfId="0" applyFont="1" applyFill="1" applyBorder="1" applyAlignment="1">
      <alignment vertical="justify"/>
    </xf>
    <xf numFmtId="0" fontId="4" fillId="5" borderId="6" xfId="0" applyFont="1" applyFill="1" applyBorder="1" applyAlignment="1">
      <alignment horizontal="center" vertical="justify"/>
    </xf>
    <xf numFmtId="3" fontId="4" fillId="5" borderId="6" xfId="0" applyNumberFormat="1" applyFont="1" applyFill="1" applyBorder="1" applyAlignment="1">
      <alignment vertical="justify"/>
    </xf>
    <xf numFmtId="0" fontId="3" fillId="5" borderId="0" xfId="0" applyFont="1" applyFill="1"/>
    <xf numFmtId="0" fontId="4" fillId="0" borderId="6" xfId="0" applyFont="1" applyBorder="1" applyAlignment="1">
      <alignment vertical="justify" wrapText="1"/>
    </xf>
    <xf numFmtId="0" fontId="4" fillId="0" borderId="30" xfId="0" applyFont="1" applyBorder="1" applyAlignment="1">
      <alignment vertical="justify"/>
    </xf>
    <xf numFmtId="3" fontId="5" fillId="9" borderId="23" xfId="0" applyNumberFormat="1" applyFont="1" applyFill="1" applyBorder="1" applyAlignment="1">
      <alignment horizontal="center" vertical="justify"/>
    </xf>
    <xf numFmtId="0" fontId="9" fillId="0" borderId="25" xfId="0" applyFont="1" applyBorder="1" applyAlignment="1">
      <alignment horizontal="right" vertical="justify"/>
    </xf>
    <xf numFmtId="0" fontId="9" fillId="0" borderId="26" xfId="0" applyFont="1" applyBorder="1"/>
    <xf numFmtId="0" fontId="10" fillId="0" borderId="26" xfId="0" applyFont="1" applyBorder="1" applyAlignment="1">
      <alignment horizontal="center" vertical="justify"/>
    </xf>
    <xf numFmtId="3" fontId="10" fillId="0" borderId="26" xfId="0" applyNumberFormat="1" applyFont="1" applyBorder="1" applyAlignment="1">
      <alignment horizontal="center" vertical="justify"/>
    </xf>
    <xf numFmtId="164" fontId="10" fillId="0" borderId="26" xfId="0" applyNumberFormat="1" applyFont="1" applyBorder="1" applyAlignment="1">
      <alignment horizontal="right" vertical="justify"/>
    </xf>
    <xf numFmtId="3" fontId="10" fillId="0" borderId="27" xfId="0" applyNumberFormat="1" applyFont="1" applyBorder="1" applyAlignment="1">
      <alignment horizontal="right" vertical="justify"/>
    </xf>
    <xf numFmtId="0" fontId="4" fillId="0" borderId="17" xfId="0" applyFont="1" applyBorder="1" applyAlignment="1">
      <alignment horizontal="right" vertical="justify"/>
    </xf>
    <xf numFmtId="0" fontId="5" fillId="0" borderId="18" xfId="0" applyFont="1" applyBorder="1" applyAlignment="1">
      <alignment vertical="justify"/>
    </xf>
    <xf numFmtId="0" fontId="4" fillId="0" borderId="18" xfId="0" applyFont="1" applyBorder="1" applyAlignment="1">
      <alignment horizontal="center" vertical="justify"/>
    </xf>
    <xf numFmtId="3" fontId="4" fillId="0" borderId="18" xfId="0" applyNumberFormat="1" applyFont="1" applyBorder="1" applyAlignment="1">
      <alignment horizontal="center" vertical="justify"/>
    </xf>
    <xf numFmtId="164" fontId="4" fillId="0" borderId="18" xfId="0" applyNumberFormat="1" applyFont="1" applyBorder="1" applyAlignment="1">
      <alignment horizontal="right" vertical="justify"/>
    </xf>
    <xf numFmtId="3" fontId="4" fillId="0" borderId="19" xfId="0" applyNumberFormat="1" applyFont="1" applyBorder="1" applyAlignment="1">
      <alignment horizontal="right" vertical="justify"/>
    </xf>
    <xf numFmtId="0" fontId="4" fillId="0" borderId="25" xfId="0" applyFont="1" applyBorder="1" applyAlignment="1">
      <alignment horizontal="right" vertical="justify"/>
    </xf>
    <xf numFmtId="0" fontId="4" fillId="0" borderId="26" xfId="0" applyFont="1" applyBorder="1" applyAlignment="1">
      <alignment vertical="justify"/>
    </xf>
    <xf numFmtId="0" fontId="4" fillId="0" borderId="26" xfId="0" applyFont="1" applyBorder="1" applyAlignment="1">
      <alignment horizontal="center" vertical="justify"/>
    </xf>
    <xf numFmtId="3" fontId="4" fillId="0" borderId="26" xfId="0" applyNumberFormat="1" applyFont="1" applyBorder="1" applyAlignment="1">
      <alignment horizontal="center" vertical="justify"/>
    </xf>
    <xf numFmtId="164" fontId="4" fillId="0" borderId="26" xfId="0" applyNumberFormat="1" applyFont="1" applyBorder="1" applyAlignment="1">
      <alignment horizontal="right" vertical="justify"/>
    </xf>
    <xf numFmtId="3" fontId="4" fillId="0" borderId="27" xfId="0" applyNumberFormat="1" applyFont="1" applyBorder="1" applyAlignment="1">
      <alignment horizontal="right" vertical="justify"/>
    </xf>
    <xf numFmtId="0" fontId="4" fillId="0" borderId="26" xfId="0" applyFont="1" applyBorder="1" applyAlignment="1">
      <alignment vertical="center"/>
    </xf>
    <xf numFmtId="0" fontId="10" fillId="0" borderId="25" xfId="0" applyFont="1" applyBorder="1" applyAlignment="1">
      <alignment horizontal="right" vertical="justify"/>
    </xf>
    <xf numFmtId="0" fontId="10" fillId="0" borderId="26" xfId="0" applyFont="1" applyBorder="1" applyAlignment="1">
      <alignment vertical="justify"/>
    </xf>
    <xf numFmtId="0" fontId="5" fillId="0" borderId="25" xfId="0" applyFont="1" applyBorder="1" applyAlignment="1">
      <alignment horizontal="right" vertical="justify"/>
    </xf>
    <xf numFmtId="0" fontId="4" fillId="0" borderId="29" xfId="0" applyFont="1" applyBorder="1" applyAlignment="1">
      <alignment vertical="justify"/>
    </xf>
    <xf numFmtId="0" fontId="5" fillId="3" borderId="6" xfId="0" applyFont="1" applyFill="1" applyBorder="1" applyAlignment="1">
      <alignment vertical="justify"/>
    </xf>
    <xf numFmtId="0" fontId="5" fillId="3" borderId="20" xfId="0" applyFont="1" applyFill="1" applyBorder="1" applyAlignment="1">
      <alignment horizontal="right" vertical="justify"/>
    </xf>
    <xf numFmtId="3" fontId="4" fillId="3" borderId="21" xfId="0" applyNumberFormat="1" applyFont="1" applyFill="1" applyBorder="1" applyAlignment="1">
      <alignment horizontal="right" vertical="justify"/>
    </xf>
    <xf numFmtId="3" fontId="4" fillId="0" borderId="29" xfId="0" applyNumberFormat="1" applyFont="1" applyBorder="1" applyAlignment="1">
      <alignment vertical="justify"/>
    </xf>
    <xf numFmtId="0" fontId="5" fillId="5" borderId="18" xfId="0" applyFont="1" applyFill="1" applyBorder="1" applyAlignment="1">
      <alignment vertical="justify"/>
    </xf>
    <xf numFmtId="3" fontId="5" fillId="5" borderId="19" xfId="0" applyNumberFormat="1" applyFont="1" applyFill="1" applyBorder="1" applyAlignment="1">
      <alignment horizontal="right" vertical="justify"/>
    </xf>
    <xf numFmtId="0" fontId="5" fillId="9" borderId="22" xfId="0" applyFont="1" applyFill="1" applyBorder="1" applyAlignment="1">
      <alignment horizontal="right" vertical="justify"/>
    </xf>
    <xf numFmtId="0" fontId="5" fillId="9" borderId="23" xfId="0" applyFont="1" applyFill="1" applyBorder="1" applyAlignment="1">
      <alignment horizontal="center" vertical="justify"/>
    </xf>
    <xf numFmtId="3" fontId="5" fillId="9" borderId="24" xfId="0" applyNumberFormat="1" applyFont="1" applyFill="1" applyBorder="1" applyAlignment="1">
      <alignment horizontal="right" vertical="justify"/>
    </xf>
    <xf numFmtId="0" fontId="4" fillId="0" borderId="4" xfId="0" applyFont="1" applyBorder="1" applyAlignment="1">
      <alignment horizontal="right" vertical="justify"/>
    </xf>
    <xf numFmtId="0" fontId="4" fillId="0" borderId="0" xfId="0" applyFont="1" applyAlignment="1">
      <alignment vertical="justify"/>
    </xf>
    <xf numFmtId="3" fontId="4" fillId="0" borderId="0" xfId="0" applyNumberFormat="1" applyFont="1" applyAlignment="1">
      <alignment horizontal="center" vertical="justify"/>
    </xf>
    <xf numFmtId="164" fontId="4" fillId="0" borderId="0" xfId="0" applyNumberFormat="1" applyFont="1" applyAlignment="1">
      <alignment horizontal="right" vertical="justify"/>
    </xf>
    <xf numFmtId="3" fontId="4" fillId="0" borderId="5" xfId="0" applyNumberFormat="1" applyFont="1" applyBorder="1" applyAlignment="1">
      <alignment horizontal="right" vertical="justify"/>
    </xf>
    <xf numFmtId="0" fontId="5" fillId="0" borderId="20" xfId="0" applyFont="1" applyBorder="1" applyAlignment="1">
      <alignment horizontal="right" vertical="justify"/>
    </xf>
    <xf numFmtId="0" fontId="4" fillId="0" borderId="29" xfId="0" applyFont="1" applyBorder="1" applyAlignment="1">
      <alignment horizontal="center" vertical="justify"/>
    </xf>
    <xf numFmtId="3" fontId="4" fillId="0" borderId="32" xfId="0" applyNumberFormat="1" applyFont="1" applyBorder="1" applyAlignment="1">
      <alignment vertical="justify"/>
    </xf>
    <xf numFmtId="0" fontId="4" fillId="0" borderId="26" xfId="0" applyFont="1" applyBorder="1" applyAlignment="1">
      <alignment vertical="center" wrapText="1"/>
    </xf>
    <xf numFmtId="3" fontId="4" fillId="0" borderId="6" xfId="0" applyNumberFormat="1" applyFont="1" applyBorder="1" applyAlignment="1">
      <alignment horizontal="center" vertical="justify"/>
    </xf>
    <xf numFmtId="0" fontId="5" fillId="0" borderId="6" xfId="0" applyFont="1" applyBorder="1" applyAlignment="1">
      <alignment horizontal="left" vertical="justify"/>
    </xf>
    <xf numFmtId="166" fontId="4" fillId="0" borderId="6" xfId="1" applyNumberFormat="1" applyFont="1" applyBorder="1"/>
    <xf numFmtId="0" fontId="4" fillId="5" borderId="25" xfId="0" applyFont="1" applyFill="1" applyBorder="1" applyAlignment="1">
      <alignment horizontal="right" vertical="justify"/>
    </xf>
    <xf numFmtId="0" fontId="4" fillId="0" borderId="25" xfId="0" applyFont="1" applyBorder="1" applyAlignment="1">
      <alignment horizontal="right" vertical="center"/>
    </xf>
    <xf numFmtId="0" fontId="4" fillId="0" borderId="26" xfId="0" applyFont="1" applyBorder="1" applyAlignment="1">
      <alignment horizontal="center" vertical="center"/>
    </xf>
    <xf numFmtId="3" fontId="4" fillId="0" borderId="26" xfId="0" applyNumberFormat="1" applyFont="1" applyBorder="1" applyAlignment="1">
      <alignment horizontal="right" vertical="center"/>
    </xf>
    <xf numFmtId="164" fontId="4" fillId="0" borderId="26" xfId="0" applyNumberFormat="1" applyFont="1" applyBorder="1" applyAlignment="1">
      <alignment horizontal="right" vertical="center"/>
    </xf>
    <xf numFmtId="3" fontId="4" fillId="0" borderId="27" xfId="0" applyNumberFormat="1" applyFont="1" applyBorder="1" applyAlignment="1">
      <alignment horizontal="right" vertical="center"/>
    </xf>
    <xf numFmtId="0" fontId="4" fillId="0" borderId="6" xfId="0" applyFont="1" applyBorder="1" applyAlignment="1">
      <alignment horizontal="center" vertical="center"/>
    </xf>
    <xf numFmtId="4" fontId="4" fillId="0" borderId="6" xfId="0" applyNumberFormat="1" applyFont="1" applyBorder="1" applyAlignment="1">
      <alignment horizontal="right" vertical="center"/>
    </xf>
    <xf numFmtId="3" fontId="4" fillId="0" borderId="6" xfId="0" applyNumberFormat="1" applyFont="1" applyBorder="1" applyAlignment="1">
      <alignment vertical="center"/>
    </xf>
    <xf numFmtId="0" fontId="4" fillId="0" borderId="20" xfId="0" applyFont="1" applyBorder="1" applyAlignment="1">
      <alignment horizontal="right" vertical="center"/>
    </xf>
    <xf numFmtId="0" fontId="4" fillId="0" borderId="6" xfId="0" applyFont="1" applyBorder="1" applyAlignment="1">
      <alignment vertical="center" wrapText="1"/>
    </xf>
    <xf numFmtId="0" fontId="4" fillId="0" borderId="6" xfId="0" applyFont="1" applyBorder="1" applyAlignment="1">
      <alignment vertical="center"/>
    </xf>
    <xf numFmtId="0" fontId="5" fillId="8" borderId="20" xfId="0" applyFont="1" applyFill="1" applyBorder="1" applyAlignment="1">
      <alignment horizontal="right" vertical="center"/>
    </xf>
    <xf numFmtId="0" fontId="5" fillId="8" borderId="6" xfId="0" applyFont="1" applyFill="1" applyBorder="1" applyAlignment="1">
      <alignment vertical="center"/>
    </xf>
    <xf numFmtId="0" fontId="4" fillId="8" borderId="6" xfId="0" applyFont="1" applyFill="1" applyBorder="1" applyAlignment="1">
      <alignment horizontal="center" vertical="center"/>
    </xf>
    <xf numFmtId="3" fontId="5" fillId="8" borderId="21" xfId="0" applyNumberFormat="1" applyFont="1" applyFill="1" applyBorder="1" applyAlignment="1">
      <alignment vertical="center"/>
    </xf>
    <xf numFmtId="0" fontId="4" fillId="3" borderId="26" xfId="0" applyFont="1" applyFill="1" applyBorder="1" applyAlignment="1">
      <alignment horizontal="center" vertical="justify"/>
    </xf>
    <xf numFmtId="3" fontId="4" fillId="3" borderId="26" xfId="0" applyNumberFormat="1" applyFont="1" applyFill="1" applyBorder="1" applyAlignment="1">
      <alignment horizontal="center" vertical="justify"/>
    </xf>
    <xf numFmtId="3" fontId="4" fillId="3" borderId="26" xfId="0" applyNumberFormat="1" applyFont="1" applyFill="1" applyBorder="1" applyAlignment="1">
      <alignment horizontal="right" vertical="justify"/>
    </xf>
    <xf numFmtId="3" fontId="5" fillId="3" borderId="27" xfId="0" applyNumberFormat="1" applyFont="1" applyFill="1" applyBorder="1" applyAlignment="1">
      <alignment vertical="justify"/>
    </xf>
    <xf numFmtId="0" fontId="4" fillId="0" borderId="37" xfId="0" applyFont="1" applyBorder="1" applyAlignment="1">
      <alignment vertical="center"/>
    </xf>
    <xf numFmtId="0" fontId="4" fillId="0" borderId="0" xfId="0" applyFont="1" applyAlignment="1">
      <alignment vertical="center"/>
    </xf>
    <xf numFmtId="0" fontId="4" fillId="5" borderId="6" xfId="0" applyFont="1" applyFill="1" applyBorder="1" applyAlignment="1">
      <alignment horizontal="center" vertical="center"/>
    </xf>
    <xf numFmtId="4" fontId="4" fillId="0" borderId="6" xfId="0" applyNumberFormat="1" applyFont="1" applyBorder="1" applyAlignment="1">
      <alignment horizontal="right" vertical="justify"/>
    </xf>
    <xf numFmtId="4" fontId="4" fillId="5" borderId="6" xfId="0" applyNumberFormat="1" applyFont="1" applyFill="1" applyBorder="1" applyAlignment="1">
      <alignment horizontal="right" vertical="justify"/>
    </xf>
    <xf numFmtId="0" fontId="4" fillId="5" borderId="29" xfId="0" applyFont="1" applyFill="1" applyBorder="1" applyAlignment="1">
      <alignment horizontal="center" vertical="justify"/>
    </xf>
    <xf numFmtId="3" fontId="4" fillId="5" borderId="6" xfId="0" applyNumberFormat="1" applyFont="1" applyFill="1" applyBorder="1" applyAlignment="1">
      <alignment vertical="center"/>
    </xf>
    <xf numFmtId="0" fontId="4" fillId="0" borderId="35" xfId="0" applyFont="1" applyBorder="1" applyAlignment="1">
      <alignment vertical="justify"/>
    </xf>
    <xf numFmtId="0" fontId="3" fillId="5" borderId="6" xfId="0" applyFont="1" applyFill="1" applyBorder="1" applyAlignment="1">
      <alignment horizontal="right" vertical="top" wrapText="1"/>
    </xf>
    <xf numFmtId="0" fontId="5" fillId="2" borderId="20" xfId="0" applyFont="1" applyFill="1" applyBorder="1" applyAlignment="1">
      <alignment horizontal="right" vertical="justify"/>
    </xf>
    <xf numFmtId="0" fontId="5" fillId="3" borderId="6" xfId="0" applyFont="1" applyFill="1" applyBorder="1" applyAlignment="1">
      <alignment vertical="justify" wrapText="1"/>
    </xf>
    <xf numFmtId="166" fontId="4" fillId="3" borderId="21" xfId="1" applyNumberFormat="1" applyFont="1" applyFill="1" applyBorder="1" applyAlignment="1">
      <alignment vertical="justify"/>
    </xf>
    <xf numFmtId="166" fontId="3" fillId="0" borderId="6" xfId="1" applyNumberFormat="1" applyFont="1" applyBorder="1"/>
    <xf numFmtId="0" fontId="4" fillId="5" borderId="4" xfId="0" applyFont="1" applyFill="1" applyBorder="1" applyAlignment="1">
      <alignment horizontal="right"/>
    </xf>
    <xf numFmtId="0" fontId="4" fillId="5" borderId="0" xfId="0" applyFont="1" applyFill="1" applyAlignment="1">
      <alignment horizontal="center" vertical="justify"/>
    </xf>
    <xf numFmtId="3" fontId="4" fillId="5" borderId="0" xfId="0" applyNumberFormat="1" applyFont="1" applyFill="1" applyAlignment="1">
      <alignment horizontal="center" vertical="justify"/>
    </xf>
    <xf numFmtId="3" fontId="4" fillId="5" borderId="0" xfId="0" applyNumberFormat="1" applyFont="1" applyFill="1" applyAlignment="1">
      <alignment horizontal="right" vertical="justify"/>
    </xf>
    <xf numFmtId="3" fontId="4" fillId="5" borderId="21" xfId="0" applyNumberFormat="1" applyFont="1" applyFill="1" applyBorder="1" applyAlignment="1">
      <alignment horizontal="right" vertical="justify"/>
    </xf>
    <xf numFmtId="3" fontId="4" fillId="5" borderId="6" xfId="0" applyNumberFormat="1" applyFont="1" applyFill="1" applyBorder="1" applyAlignment="1">
      <alignment horizontal="right" vertical="center"/>
    </xf>
    <xf numFmtId="3" fontId="3" fillId="0" borderId="0" xfId="0" applyNumberFormat="1" applyFont="1" applyAlignment="1">
      <alignment horizontal="right"/>
    </xf>
    <xf numFmtId="3" fontId="4" fillId="0" borderId="0" xfId="0" applyNumberFormat="1" applyFont="1" applyAlignment="1">
      <alignment horizontal="right"/>
    </xf>
    <xf numFmtId="3" fontId="3" fillId="0" borderId="5" xfId="0" applyNumberFormat="1" applyFont="1" applyBorder="1" applyAlignment="1">
      <alignment horizontal="right"/>
    </xf>
    <xf numFmtId="3" fontId="3" fillId="9" borderId="23" xfId="0" applyNumberFormat="1" applyFont="1" applyFill="1" applyBorder="1" applyAlignment="1">
      <alignment horizontal="right"/>
    </xf>
    <xf numFmtId="3" fontId="4" fillId="9" borderId="23" xfId="0" applyNumberFormat="1" applyFont="1" applyFill="1" applyBorder="1" applyAlignment="1">
      <alignment horizontal="right"/>
    </xf>
    <xf numFmtId="3" fontId="7" fillId="9" borderId="24" xfId="0" applyNumberFormat="1" applyFont="1" applyFill="1" applyBorder="1" applyAlignment="1">
      <alignment horizontal="right"/>
    </xf>
    <xf numFmtId="3" fontId="10" fillId="0" borderId="26" xfId="0" applyNumberFormat="1" applyFont="1" applyBorder="1" applyAlignment="1">
      <alignment vertical="justify"/>
    </xf>
    <xf numFmtId="3" fontId="5" fillId="9" borderId="23" xfId="0" applyNumberFormat="1" applyFont="1" applyFill="1" applyBorder="1" applyAlignment="1">
      <alignment horizontal="right" vertical="justify"/>
    </xf>
    <xf numFmtId="0" fontId="4" fillId="8" borderId="6" xfId="0" applyFont="1" applyFill="1" applyBorder="1" applyAlignment="1">
      <alignment horizontal="right" vertical="center"/>
    </xf>
    <xf numFmtId="3" fontId="5" fillId="8" borderId="6" xfId="0" applyNumberFormat="1" applyFont="1" applyFill="1" applyBorder="1" applyAlignment="1">
      <alignment horizontal="right" vertical="center"/>
    </xf>
    <xf numFmtId="0" fontId="5" fillId="0" borderId="6" xfId="0" applyFont="1" applyBorder="1" applyAlignment="1">
      <alignment horizontal="right" vertical="justify"/>
    </xf>
    <xf numFmtId="3" fontId="4" fillId="0" borderId="6" xfId="0" applyNumberFormat="1" applyFont="1" applyBorder="1" applyAlignment="1">
      <alignment horizontal="right" vertical="center"/>
    </xf>
    <xf numFmtId="0" fontId="12" fillId="5" borderId="6" xfId="0" applyFont="1" applyFill="1" applyBorder="1" applyAlignment="1">
      <alignment vertical="justify" wrapText="1"/>
    </xf>
    <xf numFmtId="0" fontId="12" fillId="5" borderId="6" xfId="0" applyFont="1" applyFill="1" applyBorder="1" applyAlignment="1">
      <alignment horizontal="center" vertical="justify"/>
    </xf>
    <xf numFmtId="3" fontId="12" fillId="5" borderId="6" xfId="0" applyNumberFormat="1" applyFont="1" applyFill="1" applyBorder="1" applyAlignment="1">
      <alignment horizontal="center" vertical="justify"/>
    </xf>
    <xf numFmtId="3" fontId="12" fillId="5" borderId="6" xfId="0" applyNumberFormat="1" applyFont="1" applyFill="1" applyBorder="1" applyAlignment="1">
      <alignment vertical="justify"/>
    </xf>
    <xf numFmtId="166" fontId="12" fillId="5" borderId="21" xfId="1" applyNumberFormat="1" applyFont="1" applyFill="1" applyBorder="1" applyAlignment="1" applyProtection="1">
      <alignment vertical="justify"/>
    </xf>
    <xf numFmtId="0" fontId="14" fillId="0" borderId="39" xfId="0" applyFont="1" applyBorder="1" applyAlignment="1">
      <alignment horizontal="right" vertical="justify"/>
    </xf>
    <xf numFmtId="0" fontId="14" fillId="0" borderId="35" xfId="0" applyFont="1" applyBorder="1" applyAlignment="1">
      <alignment vertical="justify"/>
    </xf>
    <xf numFmtId="0" fontId="14" fillId="0" borderId="35" xfId="0" applyFont="1" applyBorder="1" applyAlignment="1">
      <alignment horizontal="center" vertical="justify"/>
    </xf>
    <xf numFmtId="4" fontId="14" fillId="0" borderId="35" xfId="0" applyNumberFormat="1" applyFont="1" applyBorder="1" applyAlignment="1">
      <alignment horizontal="right" vertical="justify"/>
    </xf>
    <xf numFmtId="3" fontId="14" fillId="0" borderId="35" xfId="0" applyNumberFormat="1" applyFont="1" applyBorder="1" applyAlignment="1">
      <alignment vertical="justify"/>
    </xf>
    <xf numFmtId="3" fontId="14" fillId="0" borderId="40" xfId="0" applyNumberFormat="1" applyFont="1" applyBorder="1" applyAlignment="1">
      <alignment vertical="justify"/>
    </xf>
    <xf numFmtId="0" fontId="14" fillId="0" borderId="41" xfId="0" applyFont="1" applyBorder="1" applyAlignment="1">
      <alignment vertical="justify"/>
    </xf>
    <xf numFmtId="4" fontId="14" fillId="0" borderId="41" xfId="0" applyNumberFormat="1" applyFont="1" applyBorder="1" applyAlignment="1">
      <alignment horizontal="right" vertical="justify"/>
    </xf>
    <xf numFmtId="3" fontId="14" fillId="0" borderId="41" xfId="0" applyNumberFormat="1" applyFont="1" applyBorder="1" applyAlignment="1">
      <alignment vertical="justify"/>
    </xf>
    <xf numFmtId="3" fontId="14" fillId="0" borderId="42" xfId="0" applyNumberFormat="1" applyFont="1" applyBorder="1" applyAlignment="1">
      <alignment vertical="justify"/>
    </xf>
    <xf numFmtId="0" fontId="14" fillId="0" borderId="43" xfId="0" applyFont="1" applyBorder="1" applyAlignment="1">
      <alignment vertical="justify"/>
    </xf>
    <xf numFmtId="4" fontId="14" fillId="0" borderId="36" xfId="0" applyNumberFormat="1" applyFont="1" applyBorder="1" applyAlignment="1">
      <alignment horizontal="right" vertical="justify"/>
    </xf>
    <xf numFmtId="0" fontId="14" fillId="0" borderId="43" xfId="0" applyFont="1" applyBorder="1" applyAlignment="1">
      <alignment horizontal="center" vertical="justify"/>
    </xf>
    <xf numFmtId="4" fontId="14" fillId="0" borderId="43" xfId="0" applyNumberFormat="1" applyFont="1" applyBorder="1" applyAlignment="1">
      <alignment horizontal="right" vertical="justify"/>
    </xf>
    <xf numFmtId="3" fontId="14" fillId="0" borderId="43" xfId="0" applyNumberFormat="1" applyFont="1" applyBorder="1" applyAlignment="1">
      <alignment vertical="justify"/>
    </xf>
    <xf numFmtId="3" fontId="14" fillId="0" borderId="44" xfId="0" applyNumberFormat="1" applyFont="1" applyBorder="1" applyAlignment="1">
      <alignment vertical="justify"/>
    </xf>
    <xf numFmtId="0" fontId="14" fillId="0" borderId="45" xfId="0" applyFont="1" applyBorder="1" applyAlignment="1">
      <alignment horizontal="right" vertical="justify"/>
    </xf>
    <xf numFmtId="0" fontId="12" fillId="0" borderId="35" xfId="0" applyFont="1" applyBorder="1" applyAlignment="1">
      <alignment vertical="justify"/>
    </xf>
    <xf numFmtId="3" fontId="12" fillId="0" borderId="40" xfId="0" applyNumberFormat="1" applyFont="1" applyBorder="1" applyAlignment="1">
      <alignment vertical="justify"/>
    </xf>
    <xf numFmtId="0" fontId="12" fillId="0" borderId="41" xfId="0" applyFont="1" applyBorder="1" applyAlignment="1">
      <alignment vertical="justify"/>
    </xf>
    <xf numFmtId="0" fontId="14" fillId="0" borderId="33" xfId="0" applyFont="1" applyBorder="1" applyAlignment="1">
      <alignment horizontal="center" vertical="justify"/>
    </xf>
    <xf numFmtId="4" fontId="14" fillId="0" borderId="33" xfId="0" applyNumberFormat="1" applyFont="1" applyBorder="1" applyAlignment="1">
      <alignment horizontal="right" vertical="justify"/>
    </xf>
    <xf numFmtId="3" fontId="14" fillId="0" borderId="33" xfId="0" applyNumberFormat="1" applyFont="1" applyBorder="1" applyAlignment="1">
      <alignment vertical="justify"/>
    </xf>
    <xf numFmtId="3" fontId="14" fillId="0" borderId="34" xfId="0" applyNumberFormat="1" applyFont="1" applyBorder="1" applyAlignment="1">
      <alignment vertical="justify"/>
    </xf>
    <xf numFmtId="0" fontId="14" fillId="0" borderId="41" xfId="0" applyFont="1" applyBorder="1" applyAlignment="1">
      <alignment horizontal="center" vertical="justify"/>
    </xf>
    <xf numFmtId="0" fontId="14" fillId="0" borderId="36" xfId="0" applyFont="1" applyBorder="1" applyAlignment="1">
      <alignment vertical="justify"/>
    </xf>
    <xf numFmtId="3" fontId="14" fillId="0" borderId="36" xfId="0" applyNumberFormat="1" applyFont="1" applyBorder="1" applyAlignment="1">
      <alignment vertical="justify"/>
    </xf>
    <xf numFmtId="3" fontId="14" fillId="0" borderId="46" xfId="0" applyNumberFormat="1" applyFont="1" applyBorder="1" applyAlignment="1">
      <alignment vertical="justify"/>
    </xf>
    <xf numFmtId="0" fontId="14" fillId="0" borderId="26" xfId="0" applyFont="1" applyBorder="1" applyAlignment="1">
      <alignment vertical="center"/>
    </xf>
    <xf numFmtId="0" fontId="14" fillId="5" borderId="6" xfId="0" applyFont="1" applyFill="1" applyBorder="1" applyAlignment="1">
      <alignment vertical="justify"/>
    </xf>
    <xf numFmtId="4" fontId="14" fillId="5" borderId="6" xfId="0" applyNumberFormat="1" applyFont="1" applyFill="1" applyBorder="1" applyAlignment="1">
      <alignment horizontal="right" vertical="justify"/>
    </xf>
    <xf numFmtId="166" fontId="14" fillId="0" borderId="6" xfId="1" applyNumberFormat="1" applyFont="1" applyBorder="1"/>
    <xf numFmtId="0" fontId="14" fillId="0" borderId="4" xfId="0" applyFont="1" applyBorder="1" applyAlignment="1">
      <alignment horizontal="right" vertical="justify"/>
    </xf>
    <xf numFmtId="0" fontId="12" fillId="0" borderId="6" xfId="0" applyFont="1" applyBorder="1" applyAlignment="1">
      <alignment vertical="justify"/>
    </xf>
    <xf numFmtId="0" fontId="14" fillId="0" borderId="6" xfId="0" applyFont="1" applyBorder="1" applyAlignment="1">
      <alignment horizontal="center" vertical="justify"/>
    </xf>
    <xf numFmtId="4" fontId="14" fillId="0" borderId="6" xfId="0" applyNumberFormat="1" applyFont="1" applyBorder="1" applyAlignment="1">
      <alignment horizontal="right" vertical="justify"/>
    </xf>
    <xf numFmtId="3" fontId="14" fillId="0" borderId="6" xfId="0" applyNumberFormat="1" applyFont="1" applyBorder="1" applyAlignment="1">
      <alignment vertical="justify"/>
    </xf>
    <xf numFmtId="3" fontId="12" fillId="0" borderId="6" xfId="0" applyNumberFormat="1" applyFont="1" applyBorder="1" applyAlignment="1">
      <alignment vertical="justify"/>
    </xf>
    <xf numFmtId="0" fontId="12" fillId="5" borderId="0" xfId="0" applyFont="1" applyFill="1" applyAlignment="1">
      <alignment vertical="justify" wrapText="1"/>
    </xf>
    <xf numFmtId="0" fontId="12" fillId="5" borderId="0" xfId="0" applyFont="1" applyFill="1" applyAlignment="1">
      <alignment horizontal="center" vertical="justify"/>
    </xf>
    <xf numFmtId="3" fontId="12" fillId="5" borderId="0" xfId="0" applyNumberFormat="1" applyFont="1" applyFill="1" applyAlignment="1">
      <alignment horizontal="center" vertical="justify"/>
    </xf>
    <xf numFmtId="3" fontId="12" fillId="5" borderId="0" xfId="0" applyNumberFormat="1" applyFont="1" applyFill="1" applyAlignment="1">
      <alignment vertical="justify"/>
    </xf>
    <xf numFmtId="166" fontId="12" fillId="5" borderId="0" xfId="1" applyNumberFormat="1" applyFont="1" applyFill="1" applyBorder="1" applyAlignment="1" applyProtection="1">
      <alignment vertical="justify"/>
    </xf>
    <xf numFmtId="0" fontId="12" fillId="5" borderId="4" xfId="0" applyFont="1" applyFill="1" applyBorder="1" applyAlignment="1">
      <alignment horizontal="right" vertical="center"/>
    </xf>
    <xf numFmtId="0" fontId="5" fillId="5" borderId="6" xfId="0" applyFont="1" applyFill="1" applyBorder="1" applyAlignment="1">
      <alignment vertical="justify" wrapText="1"/>
    </xf>
    <xf numFmtId="3" fontId="4" fillId="5" borderId="6" xfId="0" applyNumberFormat="1" applyFont="1" applyFill="1" applyBorder="1" applyAlignment="1">
      <alignment horizontal="center" vertical="justify"/>
    </xf>
    <xf numFmtId="0" fontId="12" fillId="5" borderId="20" xfId="0" applyFont="1" applyFill="1" applyBorder="1" applyAlignment="1">
      <alignment horizontal="right" vertical="center"/>
    </xf>
    <xf numFmtId="3" fontId="4" fillId="5" borderId="29" xfId="0" applyNumberFormat="1" applyFont="1" applyFill="1" applyBorder="1" applyAlignment="1">
      <alignment vertical="justify"/>
    </xf>
    <xf numFmtId="0" fontId="16" fillId="2" borderId="20" xfId="0" applyFont="1" applyFill="1" applyBorder="1" applyAlignment="1">
      <alignment horizontal="right" vertical="justify"/>
    </xf>
    <xf numFmtId="0" fontId="17" fillId="0" borderId="25" xfId="0" applyFont="1" applyBorder="1" applyAlignment="1">
      <alignment horizontal="right" vertical="justify"/>
    </xf>
    <xf numFmtId="0" fontId="17" fillId="0" borderId="26" xfId="0" applyFont="1" applyBorder="1" applyAlignment="1">
      <alignment horizontal="center" vertical="justify"/>
    </xf>
    <xf numFmtId="3" fontId="17" fillId="0" borderId="26" xfId="0" applyNumberFormat="1" applyFont="1" applyBorder="1" applyAlignment="1">
      <alignment horizontal="center" vertical="justify"/>
    </xf>
    <xf numFmtId="164" fontId="17" fillId="0" borderId="26" xfId="0" applyNumberFormat="1" applyFont="1" applyBorder="1" applyAlignment="1">
      <alignment horizontal="right" vertical="justify"/>
    </xf>
    <xf numFmtId="0" fontId="14" fillId="0" borderId="25" xfId="0" applyFont="1" applyBorder="1" applyAlignment="1">
      <alignment horizontal="right" vertical="justify"/>
    </xf>
    <xf numFmtId="0" fontId="5" fillId="3" borderId="26" xfId="0" applyFont="1" applyFill="1" applyBorder="1" applyAlignment="1">
      <alignment horizontal="left" vertical="justify" wrapText="1"/>
    </xf>
    <xf numFmtId="0" fontId="4" fillId="3" borderId="26" xfId="0" applyFont="1" applyFill="1" applyBorder="1" applyAlignment="1">
      <alignment horizontal="left" vertical="justify"/>
    </xf>
    <xf numFmtId="166" fontId="4" fillId="3" borderId="27" xfId="1" applyNumberFormat="1" applyFont="1" applyFill="1" applyBorder="1" applyAlignment="1">
      <alignment horizontal="left" vertical="justify"/>
    </xf>
    <xf numFmtId="0" fontId="4" fillId="0" borderId="6" xfId="0" applyFont="1" applyBorder="1" applyAlignment="1">
      <alignment horizontal="left" vertical="justify" wrapText="1"/>
    </xf>
    <xf numFmtId="0" fontId="4" fillId="0" borderId="6" xfId="0" applyFont="1" applyBorder="1" applyAlignment="1">
      <alignment horizontal="left" vertical="justify"/>
    </xf>
    <xf numFmtId="168" fontId="4" fillId="0" borderId="6" xfId="1" applyNumberFormat="1" applyFont="1" applyFill="1" applyBorder="1" applyAlignment="1">
      <alignment horizontal="right" vertical="justify"/>
    </xf>
    <xf numFmtId="166" fontId="4" fillId="0" borderId="21" xfId="1" applyNumberFormat="1" applyFont="1" applyFill="1" applyBorder="1" applyAlignment="1">
      <alignment horizontal="left" vertical="justify"/>
    </xf>
    <xf numFmtId="0" fontId="4" fillId="0" borderId="26" xfId="0" applyFont="1" applyBorder="1" applyAlignment="1">
      <alignment horizontal="left" vertical="justify" wrapText="1"/>
    </xf>
    <xf numFmtId="0" fontId="4" fillId="0" borderId="26" xfId="0" applyFont="1" applyBorder="1" applyAlignment="1">
      <alignment horizontal="left" vertical="justify"/>
    </xf>
    <xf numFmtId="4" fontId="4" fillId="0" borderId="26" xfId="0" applyNumberFormat="1" applyFont="1" applyBorder="1" applyAlignment="1">
      <alignment horizontal="right" vertical="justify"/>
    </xf>
    <xf numFmtId="168" fontId="4" fillId="0" borderId="26" xfId="1" applyNumberFormat="1" applyFont="1" applyFill="1" applyBorder="1" applyAlignment="1">
      <alignment horizontal="right" vertical="justify"/>
    </xf>
    <xf numFmtId="0" fontId="5" fillId="0" borderId="26" xfId="0" applyFont="1" applyBorder="1" applyAlignment="1">
      <alignment horizontal="left" vertical="justify" wrapText="1"/>
    </xf>
    <xf numFmtId="0" fontId="17" fillId="5" borderId="25" xfId="0" applyFont="1" applyFill="1" applyBorder="1" applyAlignment="1">
      <alignment horizontal="right" vertical="justify"/>
    </xf>
    <xf numFmtId="3" fontId="4" fillId="0" borderId="26" xfId="0" applyNumberFormat="1" applyFont="1" applyBorder="1" applyAlignment="1">
      <alignment vertical="justify"/>
    </xf>
    <xf numFmtId="3" fontId="4" fillId="5" borderId="6" xfId="0" applyNumberFormat="1" applyFont="1" applyFill="1" applyBorder="1"/>
    <xf numFmtId="0" fontId="20" fillId="0" borderId="0" xfId="0" applyFont="1" applyAlignment="1">
      <alignment vertical="center"/>
    </xf>
    <xf numFmtId="0" fontId="21" fillId="5" borderId="0" xfId="0" applyFont="1" applyFill="1" applyAlignment="1">
      <alignment vertical="center"/>
    </xf>
    <xf numFmtId="0" fontId="22" fillId="0" borderId="6" xfId="0" applyFont="1" applyBorder="1" applyAlignment="1">
      <alignment vertical="center" wrapText="1"/>
    </xf>
    <xf numFmtId="0" fontId="2" fillId="0" borderId="6" xfId="0" applyFont="1" applyBorder="1" applyAlignment="1">
      <alignment vertical="center" wrapText="1"/>
    </xf>
    <xf numFmtId="166" fontId="2" fillId="0" borderId="6" xfId="1" applyNumberFormat="1" applyFont="1" applyBorder="1" applyAlignment="1">
      <alignment vertical="center" wrapText="1"/>
    </xf>
    <xf numFmtId="0" fontId="18" fillId="0" borderId="0" xfId="0" applyFont="1" applyAlignment="1">
      <alignment vertical="center"/>
    </xf>
    <xf numFmtId="0" fontId="5" fillId="5" borderId="20" xfId="0" applyFont="1" applyFill="1" applyBorder="1" applyAlignment="1">
      <alignment horizontal="right" vertical="justify"/>
    </xf>
    <xf numFmtId="3" fontId="4" fillId="3" borderId="21" xfId="0" applyNumberFormat="1" applyFont="1" applyFill="1" applyBorder="1" applyAlignment="1">
      <alignment vertical="justify"/>
    </xf>
    <xf numFmtId="0" fontId="4" fillId="5" borderId="20" xfId="0" applyFont="1" applyFill="1" applyBorder="1" applyAlignment="1">
      <alignment horizontal="center" vertical="center"/>
    </xf>
    <xf numFmtId="0" fontId="4" fillId="5" borderId="6" xfId="0" applyFont="1" applyFill="1" applyBorder="1" applyAlignment="1">
      <alignment horizontal="left" vertical="center" wrapText="1"/>
    </xf>
    <xf numFmtId="3" fontId="4" fillId="5" borderId="6" xfId="1" applyNumberFormat="1" applyFont="1" applyFill="1" applyBorder="1" applyAlignment="1">
      <alignment horizontal="right" vertical="center"/>
    </xf>
    <xf numFmtId="3" fontId="4" fillId="5" borderId="21" xfId="1" applyNumberFormat="1" applyFont="1" applyFill="1" applyBorder="1" applyAlignment="1">
      <alignment horizontal="right" vertical="center"/>
    </xf>
    <xf numFmtId="0" fontId="4" fillId="5" borderId="6" xfId="0" applyFont="1" applyFill="1" applyBorder="1" applyAlignment="1">
      <alignment horizontal="center"/>
    </xf>
    <xf numFmtId="3" fontId="4" fillId="5" borderId="6" xfId="0" applyNumberFormat="1" applyFont="1" applyFill="1" applyBorder="1" applyAlignment="1">
      <alignment horizontal="center" vertical="center"/>
    </xf>
    <xf numFmtId="0" fontId="5" fillId="5" borderId="6" xfId="0" applyFont="1" applyFill="1" applyBorder="1" applyAlignment="1">
      <alignment horizontal="left" vertical="center" wrapText="1"/>
    </xf>
    <xf numFmtId="0" fontId="5" fillId="5" borderId="6" xfId="0" applyFont="1" applyFill="1" applyBorder="1" applyAlignment="1">
      <alignment horizontal="left" vertical="center"/>
    </xf>
    <xf numFmtId="3" fontId="5" fillId="5" borderId="6" xfId="0" applyNumberFormat="1" applyFont="1" applyFill="1" applyBorder="1" applyAlignment="1">
      <alignment horizontal="left" vertical="center"/>
    </xf>
    <xf numFmtId="3" fontId="5" fillId="5" borderId="7" xfId="1" applyNumberFormat="1" applyFont="1" applyFill="1" applyBorder="1" applyAlignment="1">
      <alignment horizontal="right" vertical="center"/>
    </xf>
    <xf numFmtId="3" fontId="5" fillId="5" borderId="21" xfId="1" applyNumberFormat="1" applyFont="1" applyFill="1" applyBorder="1" applyAlignment="1">
      <alignment horizontal="right" vertical="center"/>
    </xf>
    <xf numFmtId="3" fontId="4" fillId="0" borderId="26" xfId="0" applyNumberFormat="1" applyFont="1" applyBorder="1" applyAlignment="1">
      <alignment horizontal="right" vertical="justify"/>
    </xf>
    <xf numFmtId="0" fontId="5" fillId="5" borderId="29" xfId="0" applyFont="1" applyFill="1" applyBorder="1" applyAlignment="1">
      <alignment vertical="justify"/>
    </xf>
    <xf numFmtId="3" fontId="4" fillId="5" borderId="29" xfId="0" applyNumberFormat="1" applyFont="1" applyFill="1" applyBorder="1" applyAlignment="1">
      <alignment horizontal="center" vertical="justify"/>
    </xf>
    <xf numFmtId="3" fontId="4" fillId="5" borderId="32" xfId="0" applyNumberFormat="1" applyFont="1" applyFill="1" applyBorder="1" applyAlignment="1">
      <alignment vertical="justify"/>
    </xf>
    <xf numFmtId="0" fontId="17" fillId="0" borderId="6" xfId="0" applyFont="1" applyBorder="1" applyAlignment="1">
      <alignment horizontal="center" vertical="justify"/>
    </xf>
    <xf numFmtId="0" fontId="17" fillId="0" borderId="6" xfId="0" applyFont="1" applyBorder="1" applyAlignment="1">
      <alignment horizontal="center" vertical="center"/>
    </xf>
    <xf numFmtId="0" fontId="17" fillId="0" borderId="20" xfId="0" applyFont="1" applyBorder="1" applyAlignment="1">
      <alignment horizontal="right" vertical="justify"/>
    </xf>
    <xf numFmtId="0" fontId="19" fillId="3" borderId="6" xfId="0" applyFont="1" applyFill="1" applyBorder="1" applyAlignment="1">
      <alignment horizontal="right" vertical="top" wrapText="1"/>
    </xf>
    <xf numFmtId="0" fontId="19" fillId="3" borderId="6" xfId="0" applyFont="1" applyFill="1" applyBorder="1" applyAlignment="1">
      <alignment vertical="top" wrapText="1"/>
    </xf>
    <xf numFmtId="0" fontId="18" fillId="3" borderId="6" xfId="0" applyFont="1" applyFill="1" applyBorder="1" applyAlignment="1">
      <alignment horizontal="center" vertical="top" wrapText="1"/>
    </xf>
    <xf numFmtId="4" fontId="18" fillId="3" borderId="6" xfId="0" applyNumberFormat="1" applyFont="1" applyFill="1" applyBorder="1" applyAlignment="1">
      <alignment horizontal="right" vertical="top" wrapText="1"/>
    </xf>
    <xf numFmtId="169" fontId="18" fillId="3" borderId="6" xfId="1" applyNumberFormat="1" applyFont="1" applyFill="1" applyBorder="1" applyAlignment="1">
      <alignment horizontal="right" vertical="top" wrapText="1"/>
    </xf>
    <xf numFmtId="166" fontId="18" fillId="3" borderId="6" xfId="1" applyNumberFormat="1" applyFont="1" applyFill="1" applyBorder="1" applyAlignment="1">
      <alignment horizontal="right" vertical="top" wrapText="1"/>
    </xf>
    <xf numFmtId="0" fontId="17" fillId="0" borderId="0" xfId="0" applyFont="1"/>
    <xf numFmtId="166" fontId="17" fillId="0" borderId="0" xfId="1" applyNumberFormat="1" applyFont="1"/>
    <xf numFmtId="0" fontId="16" fillId="5" borderId="20" xfId="0" applyFont="1" applyFill="1" applyBorder="1" applyAlignment="1">
      <alignment horizontal="right" vertical="justify"/>
    </xf>
    <xf numFmtId="0" fontId="22" fillId="5" borderId="6" xfId="0" applyFont="1" applyFill="1" applyBorder="1" applyAlignment="1">
      <alignment vertical="justify"/>
    </xf>
    <xf numFmtId="0" fontId="2" fillId="5" borderId="6" xfId="0" applyFont="1" applyFill="1" applyBorder="1" applyAlignment="1">
      <alignment horizontal="center" vertical="justify"/>
    </xf>
    <xf numFmtId="4" fontId="2" fillId="5" borderId="6" xfId="0" applyNumberFormat="1" applyFont="1" applyFill="1" applyBorder="1" applyAlignment="1">
      <alignment horizontal="right" vertical="justify"/>
    </xf>
    <xf numFmtId="3" fontId="2" fillId="5" borderId="6" xfId="0" applyNumberFormat="1" applyFont="1" applyFill="1" applyBorder="1" applyAlignment="1">
      <alignment vertical="justify"/>
    </xf>
    <xf numFmtId="3" fontId="2" fillId="5" borderId="21" xfId="0" applyNumberFormat="1" applyFont="1" applyFill="1" applyBorder="1" applyAlignment="1">
      <alignment vertical="justify"/>
    </xf>
    <xf numFmtId="166" fontId="17" fillId="0" borderId="0" xfId="1" applyNumberFormat="1" applyFont="1" applyFill="1"/>
    <xf numFmtId="0" fontId="17" fillId="5" borderId="20" xfId="0" applyFont="1" applyFill="1" applyBorder="1" applyAlignment="1">
      <alignment horizontal="center" vertical="center"/>
    </xf>
    <xf numFmtId="0" fontId="2" fillId="0" borderId="6" xfId="0" applyFont="1" applyBorder="1" applyAlignment="1">
      <alignment horizontal="left" vertical="center" wrapText="1"/>
    </xf>
    <xf numFmtId="0" fontId="2" fillId="5" borderId="6" xfId="0" applyFont="1" applyFill="1" applyBorder="1" applyAlignment="1">
      <alignment horizontal="center" vertical="center"/>
    </xf>
    <xf numFmtId="4" fontId="2" fillId="5" borderId="6" xfId="0" applyNumberFormat="1" applyFont="1" applyFill="1" applyBorder="1" applyAlignment="1">
      <alignment horizontal="right" vertical="center"/>
    </xf>
    <xf numFmtId="166" fontId="2" fillId="5" borderId="6" xfId="1" applyNumberFormat="1" applyFont="1" applyFill="1" applyBorder="1" applyAlignment="1">
      <alignment horizontal="right" vertical="center"/>
    </xf>
    <xf numFmtId="166" fontId="2" fillId="5" borderId="21" xfId="1" applyNumberFormat="1" applyFont="1" applyFill="1" applyBorder="1" applyAlignment="1">
      <alignment horizontal="right" vertical="center"/>
    </xf>
    <xf numFmtId="4" fontId="2" fillId="5" borderId="6" xfId="0" applyNumberFormat="1" applyFont="1" applyFill="1" applyBorder="1" applyAlignment="1">
      <alignment horizontal="right"/>
    </xf>
    <xf numFmtId="0" fontId="2" fillId="5" borderId="6" xfId="0" applyFont="1" applyFill="1" applyBorder="1" applyAlignment="1">
      <alignment horizontal="left" vertical="center" wrapText="1"/>
    </xf>
    <xf numFmtId="0" fontId="18" fillId="0" borderId="26" xfId="0" applyFont="1" applyBorder="1" applyAlignment="1">
      <alignment vertical="center" wrapText="1"/>
    </xf>
    <xf numFmtId="0" fontId="2" fillId="5" borderId="6" xfId="0" applyFont="1" applyFill="1" applyBorder="1" applyAlignment="1">
      <alignment horizontal="center"/>
    </xf>
    <xf numFmtId="166" fontId="18" fillId="5" borderId="6" xfId="1" applyNumberFormat="1" applyFont="1" applyFill="1" applyBorder="1" applyAlignment="1">
      <alignment horizontal="right" vertical="center"/>
    </xf>
    <xf numFmtId="166" fontId="18" fillId="5" borderId="21" xfId="1" applyNumberFormat="1" applyFont="1" applyFill="1" applyBorder="1" applyAlignment="1">
      <alignment horizontal="right" vertical="center"/>
    </xf>
    <xf numFmtId="166" fontId="18" fillId="5" borderId="7" xfId="1" applyNumberFormat="1" applyFont="1" applyFill="1" applyBorder="1" applyAlignment="1">
      <alignment horizontal="right" vertical="center"/>
    </xf>
    <xf numFmtId="0" fontId="22" fillId="5" borderId="6" xfId="0" applyFont="1" applyFill="1" applyBorder="1" applyAlignment="1">
      <alignment horizontal="left" vertical="center" wrapText="1"/>
    </xf>
    <xf numFmtId="0" fontId="22" fillId="5" borderId="6" xfId="0" applyFont="1" applyFill="1" applyBorder="1" applyAlignment="1">
      <alignment horizontal="left" vertical="center"/>
    </xf>
    <xf numFmtId="4" fontId="22" fillId="5" borderId="6" xfId="0" applyNumberFormat="1" applyFont="1" applyFill="1" applyBorder="1" applyAlignment="1">
      <alignment horizontal="right" vertical="center"/>
    </xf>
    <xf numFmtId="166" fontId="22" fillId="5" borderId="7" xfId="1" applyNumberFormat="1" applyFont="1" applyFill="1" applyBorder="1" applyAlignment="1">
      <alignment horizontal="right" vertical="center"/>
    </xf>
    <xf numFmtId="166" fontId="22" fillId="5" borderId="21" xfId="1" applyNumberFormat="1" applyFont="1" applyFill="1" applyBorder="1" applyAlignment="1">
      <alignment horizontal="right" vertical="center"/>
    </xf>
    <xf numFmtId="0" fontId="2" fillId="0" borderId="26" xfId="0" applyFont="1" applyBorder="1" applyAlignment="1">
      <alignment vertical="center"/>
    </xf>
    <xf numFmtId="0" fontId="2" fillId="0" borderId="26" xfId="0" applyFont="1" applyBorder="1" applyAlignment="1">
      <alignment horizontal="center" vertical="justify"/>
    </xf>
    <xf numFmtId="4" fontId="2" fillId="0" borderId="26" xfId="0" applyNumberFormat="1" applyFont="1" applyBorder="1" applyAlignment="1">
      <alignment horizontal="right" vertical="justify"/>
    </xf>
    <xf numFmtId="164" fontId="2" fillId="0" borderId="26" xfId="0" applyNumberFormat="1" applyFont="1" applyBorder="1" applyAlignment="1">
      <alignment horizontal="right" vertical="justify"/>
    </xf>
    <xf numFmtId="3" fontId="2" fillId="0" borderId="27" xfId="0" applyNumberFormat="1" applyFont="1" applyBorder="1" applyAlignment="1">
      <alignment horizontal="right" vertical="justify"/>
    </xf>
    <xf numFmtId="0" fontId="22" fillId="5" borderId="29" xfId="0" applyFont="1" applyFill="1" applyBorder="1" applyAlignment="1">
      <alignment vertical="justify"/>
    </xf>
    <xf numFmtId="0" fontId="2" fillId="5" borderId="29" xfId="0" applyFont="1" applyFill="1" applyBorder="1" applyAlignment="1">
      <alignment horizontal="center" vertical="justify"/>
    </xf>
    <xf numFmtId="4" fontId="2" fillId="5" borderId="29" xfId="0" applyNumberFormat="1" applyFont="1" applyFill="1" applyBorder="1" applyAlignment="1">
      <alignment horizontal="right" vertical="justify"/>
    </xf>
    <xf numFmtId="3" fontId="2" fillId="5" borderId="29" xfId="0" applyNumberFormat="1" applyFont="1" applyFill="1" applyBorder="1" applyAlignment="1">
      <alignment vertical="justify"/>
    </xf>
    <xf numFmtId="3" fontId="2" fillId="5" borderId="32" xfId="0" applyNumberFormat="1" applyFont="1" applyFill="1" applyBorder="1" applyAlignment="1">
      <alignment vertical="justify"/>
    </xf>
    <xf numFmtId="0" fontId="2" fillId="0" borderId="6" xfId="0" applyFont="1" applyBorder="1" applyAlignment="1">
      <alignment vertical="justify"/>
    </xf>
    <xf numFmtId="0" fontId="2" fillId="0" borderId="6" xfId="0" applyFont="1" applyBorder="1" applyAlignment="1">
      <alignment horizontal="center" vertical="justify"/>
    </xf>
    <xf numFmtId="4" fontId="2" fillId="0" borderId="6" xfId="0" applyNumberFormat="1" applyFont="1" applyBorder="1" applyAlignment="1">
      <alignment horizontal="right" vertical="justify"/>
    </xf>
    <xf numFmtId="3" fontId="2" fillId="0" borderId="6" xfId="0" applyNumberFormat="1" applyFont="1" applyBorder="1" applyAlignment="1">
      <alignment vertical="justify"/>
    </xf>
    <xf numFmtId="3" fontId="2" fillId="0" borderId="21" xfId="0" applyNumberFormat="1" applyFont="1" applyBorder="1" applyAlignment="1">
      <alignment vertical="justify"/>
    </xf>
    <xf numFmtId="0" fontId="2" fillId="0" borderId="29" xfId="0" applyFont="1" applyBorder="1" applyAlignment="1">
      <alignment vertical="justify"/>
    </xf>
    <xf numFmtId="0" fontId="18" fillId="0" borderId="6" xfId="0" applyFont="1" applyBorder="1" applyAlignment="1">
      <alignment vertical="top" wrapText="1"/>
    </xf>
    <xf numFmtId="0" fontId="18" fillId="0" borderId="6" xfId="0" applyFont="1" applyBorder="1" applyAlignment="1">
      <alignment horizontal="center" vertical="justify"/>
    </xf>
    <xf numFmtId="4" fontId="18" fillId="0" borderId="6" xfId="0" applyNumberFormat="1" applyFont="1" applyBorder="1" applyAlignment="1">
      <alignment horizontal="right"/>
    </xf>
    <xf numFmtId="3" fontId="18" fillId="0" borderId="30" xfId="0" applyNumberFormat="1" applyFont="1" applyBorder="1" applyAlignment="1">
      <alignment horizontal="right"/>
    </xf>
    <xf numFmtId="3" fontId="18" fillId="0" borderId="21" xfId="1" applyNumberFormat="1" applyFont="1" applyFill="1" applyBorder="1" applyAlignment="1">
      <alignment horizontal="right"/>
    </xf>
    <xf numFmtId="0" fontId="2" fillId="0" borderId="6" xfId="0" applyFont="1" applyBorder="1" applyAlignment="1">
      <alignment horizontal="left" vertical="top" wrapText="1"/>
    </xf>
    <xf numFmtId="4" fontId="2" fillId="0" borderId="6" xfId="0" applyNumberFormat="1" applyFont="1" applyBorder="1" applyAlignment="1">
      <alignment horizontal="right"/>
    </xf>
    <xf numFmtId="3" fontId="2" fillId="0" borderId="30" xfId="0" applyNumberFormat="1" applyFont="1" applyBorder="1" applyAlignment="1">
      <alignment horizontal="right"/>
    </xf>
    <xf numFmtId="3" fontId="2" fillId="0" borderId="21" xfId="1" applyNumberFormat="1" applyFont="1" applyFill="1" applyBorder="1" applyAlignment="1">
      <alignment horizontal="right"/>
    </xf>
    <xf numFmtId="0" fontId="17" fillId="5" borderId="20" xfId="0" applyFont="1" applyFill="1" applyBorder="1" applyAlignment="1">
      <alignment horizontal="right" vertical="justify"/>
    </xf>
    <xf numFmtId="0" fontId="22" fillId="10" borderId="6" xfId="0" applyFont="1" applyFill="1" applyBorder="1" applyAlignment="1">
      <alignment vertical="justify"/>
    </xf>
    <xf numFmtId="0" fontId="2" fillId="10" borderId="6" xfId="0" applyFont="1" applyFill="1" applyBorder="1" applyAlignment="1">
      <alignment horizontal="center" vertical="justify"/>
    </xf>
    <xf numFmtId="4" fontId="2" fillId="10" borderId="6" xfId="0" applyNumberFormat="1" applyFont="1" applyFill="1" applyBorder="1" applyAlignment="1">
      <alignment horizontal="right" vertical="justify"/>
    </xf>
    <xf numFmtId="3" fontId="2" fillId="10" borderId="6" xfId="0" applyNumberFormat="1" applyFont="1" applyFill="1" applyBorder="1" applyAlignment="1">
      <alignment horizontal="right" vertical="justify"/>
    </xf>
    <xf numFmtId="3" fontId="22" fillId="10" borderId="21" xfId="0" applyNumberFormat="1" applyFont="1" applyFill="1" applyBorder="1" applyAlignment="1">
      <alignment vertical="justify"/>
    </xf>
    <xf numFmtId="0" fontId="5" fillId="5" borderId="25" xfId="0" applyFont="1" applyFill="1" applyBorder="1" applyAlignment="1">
      <alignment horizontal="right" vertical="justify"/>
    </xf>
    <xf numFmtId="166" fontId="4" fillId="5" borderId="6" xfId="1" applyNumberFormat="1" applyFont="1" applyFill="1" applyBorder="1" applyAlignment="1">
      <alignment vertical="justify"/>
    </xf>
    <xf numFmtId="3" fontId="4" fillId="5" borderId="27" xfId="0" applyNumberFormat="1" applyFont="1" applyFill="1" applyBorder="1" applyAlignment="1">
      <alignment vertical="justify"/>
    </xf>
    <xf numFmtId="3" fontId="4" fillId="0" borderId="27" xfId="0" applyNumberFormat="1" applyFont="1" applyBorder="1" applyAlignment="1">
      <alignment vertical="justify"/>
    </xf>
    <xf numFmtId="0" fontId="4" fillId="5" borderId="0" xfId="0" applyFont="1" applyFill="1"/>
    <xf numFmtId="3" fontId="4" fillId="0" borderId="47" xfId="0" applyNumberFormat="1" applyFont="1" applyBorder="1" applyAlignment="1">
      <alignment vertical="justify"/>
    </xf>
    <xf numFmtId="4" fontId="4" fillId="0" borderId="30" xfId="0" applyNumberFormat="1" applyFont="1" applyBorder="1" applyAlignment="1">
      <alignment horizontal="right" vertical="justify"/>
    </xf>
    <xf numFmtId="4" fontId="4" fillId="5" borderId="29" xfId="0" applyNumberFormat="1" applyFont="1" applyFill="1" applyBorder="1" applyAlignment="1">
      <alignment horizontal="right" vertical="justify"/>
    </xf>
    <xf numFmtId="3" fontId="4" fillId="0" borderId="31" xfId="0" applyNumberFormat="1" applyFont="1" applyBorder="1" applyAlignment="1">
      <alignment vertical="center"/>
    </xf>
    <xf numFmtId="0" fontId="3" fillId="0" borderId="6" xfId="0" applyFont="1" applyBorder="1" applyAlignment="1">
      <alignment vertical="top" wrapText="1"/>
    </xf>
    <xf numFmtId="0" fontId="3" fillId="0" borderId="6" xfId="0" applyFont="1" applyBorder="1" applyAlignment="1">
      <alignment horizontal="center" vertical="justify"/>
    </xf>
    <xf numFmtId="4" fontId="3" fillId="0" borderId="6" xfId="0" applyNumberFormat="1" applyFont="1" applyBorder="1" applyAlignment="1">
      <alignment horizontal="right"/>
    </xf>
    <xf numFmtId="3" fontId="3" fillId="0" borderId="30" xfId="0" applyNumberFormat="1" applyFont="1" applyBorder="1" applyAlignment="1">
      <alignment horizontal="right"/>
    </xf>
    <xf numFmtId="3" fontId="3" fillId="0" borderId="21" xfId="1" applyNumberFormat="1" applyFont="1" applyFill="1" applyBorder="1" applyAlignment="1">
      <alignment horizontal="right"/>
    </xf>
    <xf numFmtId="0" fontId="4" fillId="0" borderId="6" xfId="0" applyFont="1" applyBorder="1" applyAlignment="1">
      <alignment horizontal="left" vertical="top" wrapText="1"/>
    </xf>
    <xf numFmtId="4" fontId="4" fillId="0" borderId="6" xfId="0" applyNumberFormat="1" applyFont="1" applyBorder="1" applyAlignment="1">
      <alignment horizontal="right"/>
    </xf>
    <xf numFmtId="3" fontId="4" fillId="0" borderId="30" xfId="0" applyNumberFormat="1" applyFont="1" applyBorder="1" applyAlignment="1">
      <alignment horizontal="right"/>
    </xf>
    <xf numFmtId="3" fontId="4" fillId="0" borderId="21" xfId="1" applyNumberFormat="1" applyFont="1" applyFill="1" applyBorder="1" applyAlignment="1">
      <alignment horizontal="right"/>
    </xf>
    <xf numFmtId="0" fontId="32" fillId="0" borderId="6" xfId="0" applyFont="1" applyBorder="1" applyAlignment="1">
      <alignment vertical="center" wrapText="1"/>
    </xf>
    <xf numFmtId="0" fontId="33" fillId="0" borderId="6" xfId="0" applyFont="1" applyBorder="1" applyAlignment="1">
      <alignment vertical="center" wrapText="1"/>
    </xf>
    <xf numFmtId="166" fontId="33" fillId="0" borderId="6" xfId="1" applyNumberFormat="1" applyFont="1" applyBorder="1" applyAlignment="1">
      <alignment vertical="center" wrapText="1"/>
    </xf>
    <xf numFmtId="0" fontId="5" fillId="8" borderId="6" xfId="0" applyFont="1" applyFill="1" applyBorder="1" applyAlignment="1">
      <alignment horizontal="center" vertical="center"/>
    </xf>
    <xf numFmtId="3" fontId="5" fillId="8" borderId="6" xfId="0" applyNumberFormat="1" applyFont="1" applyFill="1" applyBorder="1" applyAlignment="1">
      <alignment vertical="center"/>
    </xf>
    <xf numFmtId="0" fontId="4" fillId="0" borderId="6" xfId="0" applyFont="1" applyBorder="1" applyAlignment="1">
      <alignment horizontal="center"/>
    </xf>
    <xf numFmtId="0" fontId="0" fillId="0" borderId="6" xfId="0" applyBorder="1" applyAlignment="1">
      <alignment horizontal="center"/>
    </xf>
    <xf numFmtId="0" fontId="35" fillId="0" borderId="0" xfId="0" applyFont="1" applyAlignment="1">
      <alignment wrapText="1"/>
    </xf>
    <xf numFmtId="0" fontId="35" fillId="0" borderId="6" xfId="0" applyFont="1" applyBorder="1" applyAlignment="1">
      <alignment wrapText="1"/>
    </xf>
    <xf numFmtId="0" fontId="38" fillId="0" borderId="6" xfId="0" applyFont="1" applyBorder="1" applyAlignment="1">
      <alignment vertical="justify" wrapText="1"/>
    </xf>
    <xf numFmtId="0" fontId="38" fillId="0" borderId="6" xfId="0" applyFont="1" applyBorder="1" applyAlignment="1">
      <alignment horizontal="center" vertical="center" wrapText="1"/>
    </xf>
    <xf numFmtId="43" fontId="36" fillId="0" borderId="6" xfId="1" applyFont="1" applyFill="1" applyBorder="1" applyAlignment="1">
      <alignment horizontal="center" vertical="center" wrapText="1"/>
    </xf>
    <xf numFmtId="166" fontId="36" fillId="0" borderId="6" xfId="1" applyNumberFormat="1" applyFont="1" applyFill="1" applyBorder="1" applyAlignment="1">
      <alignment horizontal="center" vertical="center" wrapText="1"/>
    </xf>
    <xf numFmtId="166" fontId="38" fillId="0" borderId="6" xfId="1" applyNumberFormat="1" applyFont="1" applyFill="1" applyBorder="1" applyAlignment="1">
      <alignment horizontal="center" vertical="center" wrapText="1"/>
    </xf>
    <xf numFmtId="3" fontId="4" fillId="0" borderId="6" xfId="0" applyNumberFormat="1" applyFont="1" applyBorder="1" applyAlignment="1">
      <alignment vertical="justify" wrapText="1"/>
    </xf>
    <xf numFmtId="1" fontId="4" fillId="0" borderId="6" xfId="0" applyNumberFormat="1" applyFont="1" applyBorder="1" applyAlignment="1">
      <alignment horizontal="right" vertical="top" wrapText="1"/>
    </xf>
    <xf numFmtId="0" fontId="39" fillId="0" borderId="6" xfId="0" applyFont="1" applyBorder="1" applyAlignment="1">
      <alignment vertical="justify" wrapText="1"/>
    </xf>
    <xf numFmtId="0" fontId="39" fillId="0" borderId="6" xfId="0" applyFont="1" applyBorder="1" applyAlignment="1">
      <alignment horizontal="center"/>
    </xf>
    <xf numFmtId="0" fontId="41" fillId="0" borderId="0" xfId="0" applyFont="1"/>
    <xf numFmtId="0" fontId="39" fillId="0" borderId="6" xfId="0" applyFont="1" applyBorder="1" applyAlignment="1">
      <alignment horizontal="left" vertical="center" wrapText="1"/>
    </xf>
    <xf numFmtId="0" fontId="39" fillId="0" borderId="29" xfId="7" applyFont="1" applyBorder="1" applyAlignment="1">
      <alignment horizontal="center" vertical="justify"/>
    </xf>
    <xf numFmtId="2" fontId="11" fillId="0" borderId="29" xfId="0" applyNumberFormat="1" applyFont="1" applyBorder="1"/>
    <xf numFmtId="0" fontId="11" fillId="0" borderId="29" xfId="0" applyFont="1" applyBorder="1"/>
    <xf numFmtId="0" fontId="39" fillId="0" borderId="6" xfId="7" applyFont="1" applyBorder="1" applyAlignment="1">
      <alignment horizontal="center" vertical="justify"/>
    </xf>
    <xf numFmtId="2" fontId="11" fillId="0" borderId="6" xfId="0" applyNumberFormat="1" applyFont="1" applyBorder="1"/>
    <xf numFmtId="0" fontId="11" fillId="0" borderId="6" xfId="0" applyFont="1" applyBorder="1"/>
    <xf numFmtId="0" fontId="3" fillId="0" borderId="6" xfId="0" applyFont="1" applyBorder="1" applyAlignment="1">
      <alignment vertical="justify" wrapText="1"/>
    </xf>
    <xf numFmtId="0" fontId="3" fillId="0" borderId="6" xfId="0" applyFont="1" applyBorder="1" applyAlignment="1">
      <alignment horizontal="center"/>
    </xf>
    <xf numFmtId="0" fontId="3" fillId="0" borderId="6" xfId="9" applyNumberFormat="1" applyFont="1" applyFill="1" applyBorder="1" applyAlignment="1">
      <alignment wrapText="1"/>
    </xf>
    <xf numFmtId="1" fontId="4" fillId="0" borderId="6" xfId="0" applyNumberFormat="1" applyFont="1" applyBorder="1" applyAlignment="1">
      <alignment horizontal="right" vertical="top"/>
    </xf>
    <xf numFmtId="0" fontId="3" fillId="0" borderId="6" xfId="0" applyFont="1" applyBorder="1" applyAlignment="1">
      <alignment horizontal="left" vertical="center"/>
    </xf>
    <xf numFmtId="0" fontId="4" fillId="0" borderId="6" xfId="9" applyNumberFormat="1" applyFont="1" applyFill="1" applyBorder="1" applyAlignment="1"/>
    <xf numFmtId="0" fontId="4" fillId="0" borderId="6" xfId="7" applyFont="1" applyBorder="1" applyAlignment="1">
      <alignment horizontal="center"/>
    </xf>
    <xf numFmtId="0" fontId="42" fillId="0" borderId="6" xfId="0" applyFont="1" applyBorder="1" applyAlignment="1">
      <alignment vertical="justify"/>
    </xf>
    <xf numFmtId="167" fontId="5" fillId="8" borderId="6" xfId="1" applyNumberFormat="1" applyFont="1" applyFill="1" applyBorder="1" applyAlignment="1">
      <alignment horizontal="center" vertical="center"/>
    </xf>
    <xf numFmtId="0" fontId="43" fillId="2" borderId="20" xfId="0" applyFont="1" applyFill="1" applyBorder="1" applyAlignment="1">
      <alignment horizontal="right" vertical="justify"/>
    </xf>
    <xf numFmtId="0" fontId="5" fillId="11" borderId="20" xfId="0" applyFont="1" applyFill="1" applyBorder="1" applyAlignment="1">
      <alignment horizontal="right" vertical="center"/>
    </xf>
    <xf numFmtId="0" fontId="5" fillId="11" borderId="6" xfId="0" applyFont="1" applyFill="1" applyBorder="1" applyAlignment="1">
      <alignment vertical="center"/>
    </xf>
    <xf numFmtId="0" fontId="4" fillId="11" borderId="6" xfId="0" applyFont="1" applyFill="1" applyBorder="1" applyAlignment="1">
      <alignment horizontal="center" vertical="center"/>
    </xf>
    <xf numFmtId="3" fontId="4" fillId="11" borderId="6" xfId="0" applyNumberFormat="1" applyFont="1" applyFill="1" applyBorder="1" applyAlignment="1">
      <alignment horizontal="right" vertical="center"/>
    </xf>
    <xf numFmtId="3" fontId="4" fillId="11" borderId="6" xfId="0" applyNumberFormat="1" applyFont="1" applyFill="1" applyBorder="1" applyAlignment="1">
      <alignment vertical="center"/>
    </xf>
    <xf numFmtId="3" fontId="4" fillId="11" borderId="21" xfId="0" applyNumberFormat="1" applyFont="1" applyFill="1" applyBorder="1" applyAlignment="1">
      <alignment vertical="center"/>
    </xf>
    <xf numFmtId="0" fontId="4" fillId="12" borderId="6" xfId="0" applyFont="1" applyFill="1" applyBorder="1" applyAlignment="1">
      <alignment horizontal="right" vertical="center"/>
    </xf>
    <xf numFmtId="0" fontId="5" fillId="12" borderId="6" xfId="0" applyFont="1" applyFill="1" applyBorder="1" applyAlignment="1">
      <alignment vertical="center"/>
    </xf>
    <xf numFmtId="0" fontId="4" fillId="12" borderId="6" xfId="0" applyFont="1" applyFill="1" applyBorder="1" applyAlignment="1">
      <alignment horizontal="center" vertical="center"/>
    </xf>
    <xf numFmtId="0" fontId="5" fillId="12" borderId="6" xfId="0" applyFont="1" applyFill="1" applyBorder="1" applyAlignment="1">
      <alignment horizontal="center" vertical="center"/>
    </xf>
    <xf numFmtId="167" fontId="5" fillId="12" borderId="6" xfId="1" applyNumberFormat="1" applyFont="1" applyFill="1" applyBorder="1" applyAlignment="1">
      <alignment horizontal="center" vertical="center"/>
    </xf>
    <xf numFmtId="3" fontId="5" fillId="12" borderId="21" xfId="0" applyNumberFormat="1" applyFont="1" applyFill="1" applyBorder="1" applyAlignment="1">
      <alignment horizontal="right" vertical="center"/>
    </xf>
    <xf numFmtId="3" fontId="5" fillId="11" borderId="6" xfId="0" applyNumberFormat="1" applyFont="1" applyFill="1" applyBorder="1" applyAlignment="1">
      <alignment horizontal="right" vertical="center"/>
    </xf>
    <xf numFmtId="3" fontId="5" fillId="11" borderId="6" xfId="0" applyNumberFormat="1" applyFont="1" applyFill="1" applyBorder="1" applyAlignment="1">
      <alignment vertical="center"/>
    </xf>
    <xf numFmtId="3" fontId="4" fillId="0" borderId="29" xfId="0" applyNumberFormat="1" applyFont="1" applyBorder="1" applyAlignment="1">
      <alignment horizontal="center" vertical="justify"/>
    </xf>
    <xf numFmtId="0" fontId="5" fillId="10" borderId="20" xfId="0" applyFont="1" applyFill="1" applyBorder="1" applyAlignment="1">
      <alignment horizontal="right" vertical="justify"/>
    </xf>
    <xf numFmtId="0" fontId="16" fillId="2" borderId="9" xfId="0" applyFont="1" applyFill="1" applyBorder="1" applyAlignment="1">
      <alignment horizontal="right" vertical="justify"/>
    </xf>
    <xf numFmtId="166" fontId="0" fillId="0" borderId="0" xfId="1" applyNumberFormat="1" applyFont="1" applyFill="1"/>
    <xf numFmtId="0" fontId="0" fillId="5" borderId="0" xfId="0" applyFill="1"/>
    <xf numFmtId="0" fontId="16" fillId="0" borderId="25" xfId="0" applyFont="1" applyBorder="1" applyAlignment="1">
      <alignment horizontal="right" vertical="justify"/>
    </xf>
    <xf numFmtId="0" fontId="16" fillId="0" borderId="26" xfId="0" applyFont="1" applyBorder="1" applyAlignment="1">
      <alignment vertical="justify" wrapText="1"/>
    </xf>
    <xf numFmtId="166" fontId="17" fillId="0" borderId="27" xfId="1" applyNumberFormat="1" applyFont="1" applyFill="1" applyBorder="1" applyAlignment="1">
      <alignment horizontal="right" vertical="justify"/>
    </xf>
    <xf numFmtId="0" fontId="16" fillId="5" borderId="7" xfId="0" applyFont="1" applyFill="1" applyBorder="1" applyAlignment="1">
      <alignment horizontal="left" vertical="justify" wrapText="1"/>
    </xf>
    <xf numFmtId="0" fontId="16" fillId="5" borderId="26" xfId="0" applyFont="1" applyFill="1" applyBorder="1" applyAlignment="1">
      <alignment horizontal="left" vertical="justify"/>
    </xf>
    <xf numFmtId="166" fontId="16" fillId="5" borderId="27" xfId="1" applyNumberFormat="1" applyFont="1" applyFill="1" applyBorder="1" applyAlignment="1">
      <alignment horizontal="left" vertical="justify"/>
    </xf>
    <xf numFmtId="0" fontId="17" fillId="5" borderId="0" xfId="0" applyFont="1" applyFill="1"/>
    <xf numFmtId="4" fontId="0" fillId="0" borderId="0" xfId="0" applyNumberFormat="1"/>
    <xf numFmtId="0" fontId="17" fillId="0" borderId="4" xfId="0" applyFont="1" applyBorder="1" applyAlignment="1">
      <alignment horizontal="right" vertical="justify"/>
    </xf>
    <xf numFmtId="0" fontId="16" fillId="0" borderId="7" xfId="0" applyFont="1" applyBorder="1" applyAlignment="1">
      <alignment vertical="justify" wrapText="1"/>
    </xf>
    <xf numFmtId="3" fontId="17" fillId="0" borderId="26" xfId="0" applyNumberFormat="1" applyFont="1" applyBorder="1" applyAlignment="1">
      <alignment horizontal="right" vertical="justify"/>
    </xf>
    <xf numFmtId="166" fontId="16" fillId="0" borderId="27" xfId="1" applyNumberFormat="1" applyFont="1" applyFill="1" applyBorder="1" applyAlignment="1">
      <alignment vertical="justify"/>
    </xf>
    <xf numFmtId="0" fontId="16" fillId="5" borderId="20" xfId="0" applyFont="1" applyFill="1" applyBorder="1" applyAlignment="1">
      <alignment vertical="justify"/>
    </xf>
    <xf numFmtId="0" fontId="16" fillId="5" borderId="0" xfId="0" applyFont="1" applyFill="1" applyAlignment="1">
      <alignment vertical="justify" wrapText="1"/>
    </xf>
    <xf numFmtId="0" fontId="16" fillId="5" borderId="0" xfId="0" applyFont="1" applyFill="1" applyAlignment="1">
      <alignment vertical="justify"/>
    </xf>
    <xf numFmtId="166" fontId="16" fillId="5" borderId="27" xfId="1" applyNumberFormat="1" applyFont="1" applyFill="1" applyBorder="1" applyAlignment="1">
      <alignment vertical="justify"/>
    </xf>
    <xf numFmtId="0" fontId="16" fillId="0" borderId="4" xfId="0" applyFont="1" applyBorder="1" applyAlignment="1">
      <alignment horizontal="right" vertical="justify"/>
    </xf>
    <xf numFmtId="0" fontId="16" fillId="3" borderId="6" xfId="0" applyFont="1" applyFill="1" applyBorder="1" applyAlignment="1">
      <alignment vertical="justify" wrapText="1"/>
    </xf>
    <xf numFmtId="0" fontId="17" fillId="3" borderId="6" xfId="0" applyFont="1" applyFill="1" applyBorder="1" applyAlignment="1">
      <alignment horizontal="center" vertical="justify"/>
    </xf>
    <xf numFmtId="3" fontId="17" fillId="3" borderId="7" xfId="0" applyNumberFormat="1" applyFont="1" applyFill="1" applyBorder="1" applyAlignment="1">
      <alignment horizontal="center" vertical="justify"/>
    </xf>
    <xf numFmtId="3" fontId="17" fillId="3" borderId="7" xfId="0" applyNumberFormat="1" applyFont="1" applyFill="1" applyBorder="1" applyAlignment="1">
      <alignment vertical="justify"/>
    </xf>
    <xf numFmtId="166" fontId="17" fillId="3" borderId="31" xfId="1" applyNumberFormat="1" applyFont="1" applyFill="1" applyBorder="1" applyAlignment="1">
      <alignment vertical="justify"/>
    </xf>
    <xf numFmtId="0" fontId="17" fillId="5" borderId="6" xfId="0" applyFont="1" applyFill="1" applyBorder="1" applyAlignment="1">
      <alignment vertical="justify"/>
    </xf>
    <xf numFmtId="0" fontId="17" fillId="5" borderId="6" xfId="0" applyFont="1" applyFill="1" applyBorder="1" applyAlignment="1">
      <alignment horizontal="center" vertical="justify"/>
    </xf>
    <xf numFmtId="4" fontId="17" fillId="5" borderId="7" xfId="0" applyNumberFormat="1" applyFont="1" applyFill="1" applyBorder="1" applyAlignment="1">
      <alignment horizontal="center"/>
    </xf>
    <xf numFmtId="3" fontId="17" fillId="5" borderId="30" xfId="0" applyNumberFormat="1" applyFont="1" applyFill="1" applyBorder="1" applyAlignment="1">
      <alignment horizontal="right"/>
    </xf>
    <xf numFmtId="3" fontId="17" fillId="5" borderId="21" xfId="0" applyNumberFormat="1" applyFont="1" applyFill="1" applyBorder="1"/>
    <xf numFmtId="0" fontId="17" fillId="0" borderId="6" xfId="0" applyFont="1" applyBorder="1" applyAlignment="1">
      <alignment vertical="center" wrapText="1"/>
    </xf>
    <xf numFmtId="4" fontId="17" fillId="0" borderId="7" xfId="0" applyNumberFormat="1" applyFont="1" applyBorder="1" applyAlignment="1">
      <alignment horizontal="center"/>
    </xf>
    <xf numFmtId="3" fontId="17" fillId="0" borderId="30" xfId="0" applyNumberFormat="1" applyFont="1" applyBorder="1" applyAlignment="1">
      <alignment horizontal="right"/>
    </xf>
    <xf numFmtId="3" fontId="17" fillId="0" borderId="21" xfId="0" applyNumberFormat="1" applyFont="1" applyBorder="1"/>
    <xf numFmtId="0" fontId="17" fillId="0" borderId="6" xfId="0" applyFont="1" applyBorder="1" applyAlignment="1">
      <alignment vertical="justify"/>
    </xf>
    <xf numFmtId="0" fontId="17" fillId="0" borderId="6" xfId="0" applyFont="1" applyBorder="1" applyAlignment="1">
      <alignment horizontal="center"/>
    </xf>
    <xf numFmtId="0" fontId="17" fillId="0" borderId="8" xfId="0" applyFont="1" applyBorder="1" applyAlignment="1">
      <alignment vertical="justify"/>
    </xf>
    <xf numFmtId="0" fontId="17" fillId="5" borderId="6" xfId="0" applyFont="1" applyFill="1" applyBorder="1" applyAlignment="1">
      <alignment vertical="center" wrapText="1"/>
    </xf>
    <xf numFmtId="166" fontId="17" fillId="5" borderId="0" xfId="1" applyNumberFormat="1" applyFont="1" applyFill="1"/>
    <xf numFmtId="3" fontId="17" fillId="0" borderId="7" xfId="0" applyNumberFormat="1" applyFont="1" applyBorder="1" applyAlignment="1">
      <alignment horizontal="center"/>
    </xf>
    <xf numFmtId="4" fontId="17" fillId="0" borderId="7" xfId="0" applyNumberFormat="1" applyFont="1" applyBorder="1"/>
    <xf numFmtId="3" fontId="17" fillId="0" borderId="30" xfId="0" applyNumberFormat="1" applyFont="1" applyBorder="1"/>
    <xf numFmtId="166" fontId="16" fillId="0" borderId="0" xfId="1" applyNumberFormat="1" applyFont="1" applyFill="1" applyBorder="1" applyAlignment="1">
      <alignment vertical="justify"/>
    </xf>
    <xf numFmtId="166" fontId="16" fillId="5" borderId="0" xfId="1" applyNumberFormat="1" applyFont="1" applyFill="1" applyBorder="1" applyAlignment="1">
      <alignment vertical="justify"/>
    </xf>
    <xf numFmtId="0" fontId="2" fillId="0" borderId="0" xfId="0" applyFont="1"/>
    <xf numFmtId="166" fontId="2" fillId="0" borderId="0" xfId="1" applyNumberFormat="1" applyFont="1"/>
    <xf numFmtId="0" fontId="17" fillId="0" borderId="6" xfId="0" applyFont="1" applyBorder="1" applyAlignment="1">
      <alignment vertical="top"/>
    </xf>
    <xf numFmtId="0" fontId="17" fillId="0" borderId="0" xfId="0" applyFont="1" applyAlignment="1">
      <alignment vertical="justify"/>
    </xf>
    <xf numFmtId="0" fontId="17" fillId="0" borderId="6" xfId="0" applyFont="1" applyBorder="1" applyAlignment="1">
      <alignment vertical="top" wrapText="1"/>
    </xf>
    <xf numFmtId="4" fontId="17" fillId="0" borderId="7" xfId="0" applyNumberFormat="1" applyFont="1" applyBorder="1" applyAlignment="1">
      <alignment horizontal="center" vertical="top"/>
    </xf>
    <xf numFmtId="3" fontId="17" fillId="0" borderId="30" xfId="0" applyNumberFormat="1" applyFont="1" applyBorder="1" applyAlignment="1">
      <alignment horizontal="right" vertical="top"/>
    </xf>
    <xf numFmtId="3" fontId="17" fillId="0" borderId="21" xfId="1" applyNumberFormat="1" applyFont="1" applyFill="1" applyBorder="1" applyAlignment="1">
      <alignment horizontal="right" vertical="top"/>
    </xf>
    <xf numFmtId="4" fontId="17" fillId="0" borderId="6" xfId="0" applyNumberFormat="1" applyFont="1" applyBorder="1" applyAlignment="1">
      <alignment horizontal="center"/>
    </xf>
    <xf numFmtId="3" fontId="17" fillId="0" borderId="21" xfId="1" applyNumberFormat="1" applyFont="1" applyFill="1" applyBorder="1" applyAlignment="1">
      <alignment horizontal="right"/>
    </xf>
    <xf numFmtId="0" fontId="17" fillId="5" borderId="6" xfId="0" applyFont="1" applyFill="1" applyBorder="1" applyAlignment="1">
      <alignment horizontal="center" vertical="top"/>
    </xf>
    <xf numFmtId="4" fontId="17" fillId="5" borderId="6" xfId="0" applyNumberFormat="1" applyFont="1" applyFill="1" applyBorder="1" applyAlignment="1">
      <alignment horizontal="center" vertical="top"/>
    </xf>
    <xf numFmtId="3" fontId="27" fillId="5" borderId="30" xfId="0" applyNumberFormat="1" applyFont="1" applyFill="1" applyBorder="1" applyAlignment="1">
      <alignment horizontal="right" vertical="top"/>
    </xf>
    <xf numFmtId="3" fontId="17" fillId="5" borderId="21" xfId="0" applyNumberFormat="1" applyFont="1" applyFill="1" applyBorder="1" applyAlignment="1">
      <alignment vertical="top"/>
    </xf>
    <xf numFmtId="0" fontId="17" fillId="5" borderId="6" xfId="0" applyFont="1" applyFill="1" applyBorder="1" applyAlignment="1">
      <alignment horizontal="center" vertical="center"/>
    </xf>
    <xf numFmtId="4" fontId="17" fillId="5" borderId="6" xfId="0" applyNumberFormat="1" applyFont="1" applyFill="1" applyBorder="1" applyAlignment="1">
      <alignment horizontal="center"/>
    </xf>
    <xf numFmtId="3" fontId="27" fillId="5" borderId="30" xfId="0" applyNumberFormat="1" applyFont="1" applyFill="1" applyBorder="1" applyAlignment="1">
      <alignment horizontal="right"/>
    </xf>
    <xf numFmtId="0" fontId="17" fillId="0" borderId="30" xfId="0" applyFont="1" applyBorder="1" applyAlignment="1">
      <alignment horizontal="left" vertical="center" wrapText="1"/>
    </xf>
    <xf numFmtId="4" fontId="17" fillId="0" borderId="38" xfId="0" applyNumberFormat="1" applyFont="1" applyBorder="1" applyAlignment="1">
      <alignment horizontal="center"/>
    </xf>
    <xf numFmtId="0" fontId="17" fillId="0" borderId="6" xfId="0" applyFont="1" applyBorder="1" applyAlignment="1">
      <alignment horizontal="left" vertical="top" wrapText="1"/>
    </xf>
    <xf numFmtId="3" fontId="17" fillId="0" borderId="0" xfId="0" applyNumberFormat="1" applyFont="1"/>
    <xf numFmtId="166" fontId="17" fillId="5" borderId="0" xfId="1" applyNumberFormat="1" applyFont="1" applyFill="1" applyBorder="1"/>
    <xf numFmtId="0" fontId="17" fillId="6" borderId="25" xfId="0" applyFont="1" applyFill="1" applyBorder="1" applyAlignment="1">
      <alignment horizontal="right" vertical="justify"/>
    </xf>
    <xf numFmtId="0" fontId="16" fillId="6" borderId="30" xfId="0" applyFont="1" applyFill="1" applyBorder="1" applyAlignment="1">
      <alignment vertical="justify" wrapText="1"/>
    </xf>
    <xf numFmtId="0" fontId="16" fillId="6" borderId="30" xfId="0" applyFont="1" applyFill="1" applyBorder="1" applyAlignment="1">
      <alignment horizontal="center" vertical="justify"/>
    </xf>
    <xf numFmtId="3" fontId="16" fillId="6" borderId="30" xfId="0" applyNumberFormat="1" applyFont="1" applyFill="1" applyBorder="1" applyAlignment="1">
      <alignment horizontal="center" vertical="justify"/>
    </xf>
    <xf numFmtId="3" fontId="16" fillId="6" borderId="30" xfId="0" applyNumberFormat="1" applyFont="1" applyFill="1" applyBorder="1" applyAlignment="1">
      <alignment horizontal="right" vertical="justify"/>
    </xf>
    <xf numFmtId="166" fontId="16" fillId="6" borderId="6" xfId="1" applyNumberFormat="1" applyFont="1" applyFill="1" applyBorder="1" applyAlignment="1">
      <alignment vertical="justify"/>
    </xf>
    <xf numFmtId="0" fontId="17" fillId="0" borderId="48" xfId="0" applyFont="1" applyBorder="1" applyAlignment="1">
      <alignment horizontal="left" vertical="center" wrapText="1"/>
    </xf>
    <xf numFmtId="4" fontId="17" fillId="0" borderId="48" xfId="0" applyNumberFormat="1" applyFont="1" applyBorder="1" applyAlignment="1">
      <alignment horizontal="center" vertical="center"/>
    </xf>
    <xf numFmtId="166" fontId="17" fillId="0" borderId="49" xfId="1" applyNumberFormat="1" applyFont="1" applyBorder="1" applyAlignment="1"/>
    <xf numFmtId="0" fontId="16" fillId="3" borderId="20" xfId="0" applyFont="1" applyFill="1" applyBorder="1" applyAlignment="1">
      <alignment horizontal="right" vertical="justify"/>
    </xf>
    <xf numFmtId="0" fontId="17" fillId="5" borderId="6" xfId="0" applyFont="1" applyFill="1" applyBorder="1" applyAlignment="1">
      <alignment vertical="top" wrapText="1"/>
    </xf>
    <xf numFmtId="3" fontId="17" fillId="0" borderId="6" xfId="0" applyNumberFormat="1" applyFont="1" applyBorder="1" applyAlignment="1">
      <alignment horizontal="right"/>
    </xf>
    <xf numFmtId="166" fontId="17" fillId="0" borderId="21" xfId="1" applyNumberFormat="1" applyFont="1" applyBorder="1" applyAlignment="1"/>
    <xf numFmtId="0" fontId="17" fillId="0" borderId="30" xfId="0" applyFont="1" applyBorder="1" applyAlignment="1">
      <alignment vertical="top" wrapText="1"/>
    </xf>
    <xf numFmtId="0" fontId="17" fillId="0" borderId="30" xfId="0" applyFont="1" applyBorder="1" applyAlignment="1">
      <alignment horizontal="center"/>
    </xf>
    <xf numFmtId="4" fontId="17" fillId="0" borderId="30" xfId="0" applyNumberFormat="1" applyFont="1" applyBorder="1" applyAlignment="1">
      <alignment horizontal="center"/>
    </xf>
    <xf numFmtId="166" fontId="17" fillId="0" borderId="31" xfId="1" applyNumberFormat="1" applyFont="1" applyFill="1" applyBorder="1" applyAlignment="1">
      <alignment horizontal="right"/>
    </xf>
    <xf numFmtId="0" fontId="17" fillId="3" borderId="25" xfId="0" applyFont="1" applyFill="1" applyBorder="1" applyAlignment="1">
      <alignment horizontal="right" vertical="justify"/>
    </xf>
    <xf numFmtId="0" fontId="16" fillId="3" borderId="30" xfId="0" applyFont="1" applyFill="1" applyBorder="1" applyAlignment="1">
      <alignment vertical="justify" wrapText="1"/>
    </xf>
    <xf numFmtId="0" fontId="16" fillId="3" borderId="30" xfId="0" applyFont="1" applyFill="1" applyBorder="1" applyAlignment="1">
      <alignment horizontal="center" vertical="justify"/>
    </xf>
    <xf numFmtId="3" fontId="16" fillId="3" borderId="30" xfId="0" applyNumberFormat="1" applyFont="1" applyFill="1" applyBorder="1" applyAlignment="1">
      <alignment horizontal="center" vertical="justify"/>
    </xf>
    <xf numFmtId="3" fontId="16" fillId="3" borderId="30" xfId="0" applyNumberFormat="1" applyFont="1" applyFill="1" applyBorder="1" applyAlignment="1">
      <alignment horizontal="right" vertical="justify"/>
    </xf>
    <xf numFmtId="166" fontId="16" fillId="3" borderId="31" xfId="1" applyNumberFormat="1" applyFont="1" applyFill="1" applyBorder="1" applyAlignment="1">
      <alignment vertical="justify"/>
    </xf>
    <xf numFmtId="3" fontId="17" fillId="3" borderId="6" xfId="0" applyNumberFormat="1" applyFont="1" applyFill="1" applyBorder="1" applyAlignment="1">
      <alignment horizontal="center" vertical="justify"/>
    </xf>
    <xf numFmtId="3" fontId="17" fillId="3" borderId="6" xfId="0" applyNumberFormat="1" applyFont="1" applyFill="1" applyBorder="1" applyAlignment="1">
      <alignment horizontal="right" vertical="justify"/>
    </xf>
    <xf numFmtId="166" fontId="16" fillId="3" borderId="21" xfId="1" applyNumberFormat="1" applyFont="1" applyFill="1" applyBorder="1" applyAlignment="1">
      <alignment vertical="justify"/>
    </xf>
    <xf numFmtId="0" fontId="16" fillId="0" borderId="48" xfId="0" applyFont="1" applyBorder="1" applyAlignment="1">
      <alignment vertical="justify" wrapText="1"/>
    </xf>
    <xf numFmtId="166" fontId="16" fillId="0" borderId="49" xfId="1" applyNumberFormat="1" applyFont="1" applyFill="1" applyBorder="1" applyAlignment="1">
      <alignment vertical="justify"/>
    </xf>
    <xf numFmtId="0" fontId="17" fillId="0" borderId="48" xfId="0" applyFont="1" applyBorder="1" applyAlignment="1">
      <alignment vertical="center" wrapText="1"/>
    </xf>
    <xf numFmtId="166" fontId="17" fillId="0" borderId="49" xfId="1" applyNumberFormat="1" applyFont="1" applyBorder="1" applyAlignment="1">
      <alignment horizontal="right" vertical="justify"/>
    </xf>
    <xf numFmtId="0" fontId="16" fillId="2" borderId="17" xfId="0" applyFont="1" applyFill="1" applyBorder="1" applyAlignment="1">
      <alignment horizontal="right" vertical="justify"/>
    </xf>
    <xf numFmtId="3" fontId="17" fillId="3" borderId="6" xfId="0" applyNumberFormat="1" applyFont="1" applyFill="1" applyBorder="1" applyAlignment="1">
      <alignment vertical="justify"/>
    </xf>
    <xf numFmtId="166" fontId="17" fillId="3" borderId="21" xfId="1" applyNumberFormat="1" applyFont="1" applyFill="1" applyBorder="1" applyAlignment="1">
      <alignment vertical="justify"/>
    </xf>
    <xf numFmtId="0" fontId="17" fillId="5" borderId="6" xfId="0" applyFont="1" applyFill="1" applyBorder="1" applyAlignment="1">
      <alignment vertical="top"/>
    </xf>
    <xf numFmtId="0" fontId="17" fillId="5" borderId="6" xfId="0" applyFont="1" applyFill="1" applyBorder="1" applyAlignment="1">
      <alignment horizontal="center"/>
    </xf>
    <xf numFmtId="3" fontId="17" fillId="5" borderId="6" xfId="0" applyNumberFormat="1" applyFont="1" applyFill="1" applyBorder="1" applyAlignment="1">
      <alignment horizontal="right"/>
    </xf>
    <xf numFmtId="0" fontId="17" fillId="0" borderId="29" xfId="0" applyFont="1" applyBorder="1" applyAlignment="1">
      <alignment vertical="top" wrapText="1"/>
    </xf>
    <xf numFmtId="0" fontId="17" fillId="0" borderId="29" xfId="0" applyFont="1" applyBorder="1" applyAlignment="1">
      <alignment horizontal="center"/>
    </xf>
    <xf numFmtId="4" fontId="17" fillId="0" borderId="29" xfId="0" applyNumberFormat="1" applyFont="1" applyBorder="1" applyAlignment="1">
      <alignment horizontal="center"/>
    </xf>
    <xf numFmtId="0" fontId="17" fillId="3" borderId="28" xfId="0" applyFont="1" applyFill="1" applyBorder="1" applyAlignment="1">
      <alignment horizontal="right" vertical="justify"/>
    </xf>
    <xf numFmtId="0" fontId="16" fillId="3" borderId="6" xfId="0" applyFont="1" applyFill="1" applyBorder="1" applyAlignment="1">
      <alignment horizontal="center"/>
    </xf>
    <xf numFmtId="4" fontId="16" fillId="3" borderId="6" xfId="0" applyNumberFormat="1" applyFont="1" applyFill="1" applyBorder="1" applyAlignment="1">
      <alignment horizontal="center"/>
    </xf>
    <xf numFmtId="3" fontId="16" fillId="3" borderId="6" xfId="0" applyNumberFormat="1" applyFont="1" applyFill="1" applyBorder="1" applyAlignment="1">
      <alignment horizontal="right"/>
    </xf>
    <xf numFmtId="166" fontId="16" fillId="3" borderId="21" xfId="1" applyNumberFormat="1" applyFont="1" applyFill="1" applyBorder="1" applyAlignment="1"/>
    <xf numFmtId="0" fontId="17" fillId="0" borderId="50" xfId="0" applyFont="1" applyBorder="1" applyAlignment="1">
      <alignment horizontal="right" vertical="justify"/>
    </xf>
    <xf numFmtId="0" fontId="16" fillId="0" borderId="26" xfId="0" applyFont="1" applyBorder="1" applyAlignment="1">
      <alignment horizontal="center"/>
    </xf>
    <xf numFmtId="4" fontId="16" fillId="0" borderId="26" xfId="0" applyNumberFormat="1" applyFont="1" applyBorder="1" applyAlignment="1">
      <alignment horizontal="center"/>
    </xf>
    <xf numFmtId="3" fontId="16" fillId="0" borderId="26" xfId="0" applyNumberFormat="1" applyFont="1" applyBorder="1" applyAlignment="1">
      <alignment horizontal="right"/>
    </xf>
    <xf numFmtId="166" fontId="16" fillId="0" borderId="49" xfId="1" applyNumberFormat="1" applyFont="1" applyFill="1" applyBorder="1" applyAlignment="1"/>
    <xf numFmtId="0" fontId="16" fillId="2" borderId="6" xfId="0" applyFont="1" applyFill="1" applyBorder="1" applyAlignment="1">
      <alignment vertical="justify" wrapText="1"/>
    </xf>
    <xf numFmtId="0" fontId="17" fillId="0" borderId="29" xfId="0" applyFont="1" applyBorder="1" applyAlignment="1">
      <alignment vertical="top"/>
    </xf>
    <xf numFmtId="166" fontId="16" fillId="2" borderId="21" xfId="1" applyNumberFormat="1" applyFont="1" applyFill="1" applyBorder="1" applyAlignment="1"/>
    <xf numFmtId="0" fontId="16" fillId="0" borderId="30" xfId="0" applyFont="1" applyBorder="1" applyAlignment="1">
      <alignment vertical="justify" wrapText="1"/>
    </xf>
    <xf numFmtId="0" fontId="16" fillId="0" borderId="6" xfId="0" applyFont="1" applyBorder="1" applyAlignment="1">
      <alignment horizontal="center"/>
    </xf>
    <xf numFmtId="4" fontId="16" fillId="0" borderId="6" xfId="0" applyNumberFormat="1" applyFont="1" applyBorder="1" applyAlignment="1">
      <alignment horizontal="center"/>
    </xf>
    <xf numFmtId="3" fontId="16" fillId="0" borderId="6" xfId="0" applyNumberFormat="1" applyFont="1" applyBorder="1" applyAlignment="1">
      <alignment horizontal="right"/>
    </xf>
    <xf numFmtId="166" fontId="16" fillId="0" borderId="21" xfId="1" applyNumberFormat="1" applyFont="1" applyFill="1" applyBorder="1" applyAlignment="1"/>
    <xf numFmtId="0" fontId="16" fillId="3" borderId="6" xfId="0" applyFont="1" applyFill="1" applyBorder="1" applyAlignment="1">
      <alignment vertical="justify"/>
    </xf>
    <xf numFmtId="166" fontId="17" fillId="0" borderId="0" xfId="1" applyNumberFormat="1" applyFont="1" applyFill="1" applyBorder="1" applyAlignment="1">
      <alignment vertical="justify"/>
    </xf>
    <xf numFmtId="0" fontId="17" fillId="5" borderId="0" xfId="0" applyFont="1" applyFill="1" applyAlignment="1">
      <alignment vertical="justify"/>
    </xf>
    <xf numFmtId="166" fontId="16" fillId="0" borderId="0" xfId="1" applyNumberFormat="1" applyFont="1" applyFill="1" applyBorder="1" applyAlignment="1"/>
    <xf numFmtId="166" fontId="3" fillId="0" borderId="21" xfId="1" applyNumberFormat="1" applyFont="1" applyBorder="1"/>
    <xf numFmtId="166" fontId="16" fillId="2" borderId="6" xfId="1" applyNumberFormat="1" applyFont="1" applyFill="1" applyBorder="1" applyAlignment="1"/>
    <xf numFmtId="166" fontId="16" fillId="0" borderId="7" xfId="1" applyNumberFormat="1" applyFont="1" applyFill="1" applyBorder="1" applyAlignment="1"/>
    <xf numFmtId="0" fontId="17" fillId="4" borderId="20" xfId="0" applyFont="1" applyFill="1" applyBorder="1" applyAlignment="1">
      <alignment horizontal="right" vertical="justify"/>
    </xf>
    <xf numFmtId="0" fontId="16" fillId="4" borderId="6" xfId="0" applyFont="1" applyFill="1" applyBorder="1" applyAlignment="1">
      <alignment horizontal="justify" vertical="distributed" wrapText="1"/>
    </xf>
    <xf numFmtId="0" fontId="16" fillId="4" borderId="6" xfId="0" applyFont="1" applyFill="1" applyBorder="1" applyAlignment="1">
      <alignment horizontal="center"/>
    </xf>
    <xf numFmtId="4" fontId="16" fillId="4" borderId="6" xfId="0" applyNumberFormat="1" applyFont="1" applyFill="1" applyBorder="1" applyAlignment="1">
      <alignment horizontal="center"/>
    </xf>
    <xf numFmtId="3" fontId="16" fillId="4" borderId="6" xfId="0" applyNumberFormat="1" applyFont="1" applyFill="1" applyBorder="1" applyAlignment="1">
      <alignment horizontal="right"/>
    </xf>
    <xf numFmtId="166" fontId="16" fillId="4" borderId="21" xfId="1" applyNumberFormat="1" applyFont="1" applyFill="1" applyBorder="1" applyAlignment="1"/>
    <xf numFmtId="0" fontId="0" fillId="0" borderId="6" xfId="0" applyBorder="1" applyAlignment="1">
      <alignment horizontal="center" vertical="center"/>
    </xf>
    <xf numFmtId="0" fontId="0" fillId="7" borderId="6" xfId="0" applyFill="1" applyBorder="1" applyAlignment="1">
      <alignment horizontal="center" vertical="center"/>
    </xf>
    <xf numFmtId="0" fontId="46" fillId="0" borderId="30" xfId="0" applyFont="1" applyBorder="1" applyAlignment="1">
      <alignment vertical="top"/>
    </xf>
    <xf numFmtId="0" fontId="46" fillId="0" borderId="6" xfId="0" applyFont="1" applyBorder="1" applyAlignment="1">
      <alignment vertical="top"/>
    </xf>
    <xf numFmtId="1" fontId="46" fillId="0" borderId="6" xfId="1" applyNumberFormat="1" applyFont="1" applyBorder="1" applyAlignment="1">
      <alignment vertical="top"/>
    </xf>
    <xf numFmtId="0" fontId="46" fillId="5" borderId="30" xfId="0" applyFont="1" applyFill="1" applyBorder="1" applyAlignment="1">
      <alignment vertical="top"/>
    </xf>
    <xf numFmtId="0" fontId="46" fillId="5" borderId="6" xfId="0" applyFont="1" applyFill="1" applyBorder="1" applyAlignment="1">
      <alignment vertical="top"/>
    </xf>
    <xf numFmtId="0" fontId="46" fillId="0" borderId="0" xfId="0" applyFont="1" applyAlignment="1">
      <alignment vertical="top"/>
    </xf>
    <xf numFmtId="0" fontId="0" fillId="0" borderId="0" xfId="0" applyAlignment="1">
      <alignment horizontal="center" vertical="center"/>
    </xf>
    <xf numFmtId="0" fontId="0" fillId="7" borderId="29" xfId="0" applyFill="1" applyBorder="1" applyAlignment="1">
      <alignment horizontal="center" vertical="center"/>
    </xf>
    <xf numFmtId="0" fontId="47" fillId="0" borderId="53" xfId="0" applyFont="1" applyBorder="1" applyAlignment="1">
      <alignment wrapText="1"/>
    </xf>
    <xf numFmtId="0" fontId="5" fillId="7" borderId="6" xfId="0" applyFont="1" applyFill="1" applyBorder="1" applyAlignment="1">
      <alignment horizontal="right"/>
    </xf>
    <xf numFmtId="0" fontId="5" fillId="7" borderId="6" xfId="0" applyFont="1" applyFill="1" applyBorder="1" applyAlignment="1">
      <alignment vertical="justify"/>
    </xf>
    <xf numFmtId="0" fontId="5" fillId="7" borderId="6" xfId="0" applyFont="1" applyFill="1" applyBorder="1" applyAlignment="1">
      <alignment horizontal="center"/>
    </xf>
    <xf numFmtId="3" fontId="5" fillId="7" borderId="6" xfId="0" applyNumberFormat="1" applyFont="1" applyFill="1" applyBorder="1" applyAlignment="1">
      <alignment horizontal="center"/>
    </xf>
    <xf numFmtId="164" fontId="5" fillId="7" borderId="6" xfId="0" applyNumberFormat="1" applyFont="1" applyFill="1" applyBorder="1" applyAlignment="1">
      <alignment horizontal="right"/>
    </xf>
    <xf numFmtId="3" fontId="5" fillId="7" borderId="6" xfId="0" applyNumberFormat="1" applyFont="1" applyFill="1" applyBorder="1" applyAlignment="1">
      <alignment horizontal="right"/>
    </xf>
    <xf numFmtId="0" fontId="0" fillId="14" borderId="6" xfId="0" applyFill="1" applyBorder="1"/>
    <xf numFmtId="0" fontId="5" fillId="14" borderId="6" xfId="7" applyFont="1" applyFill="1" applyBorder="1" applyAlignment="1">
      <alignment vertical="justify"/>
    </xf>
    <xf numFmtId="43" fontId="28" fillId="14" borderId="6" xfId="0" applyNumberFormat="1" applyFont="1" applyFill="1" applyBorder="1"/>
    <xf numFmtId="0" fontId="0" fillId="4" borderId="6" xfId="0" applyFill="1" applyBorder="1"/>
    <xf numFmtId="0" fontId="29" fillId="4" borderId="6" xfId="7" applyFont="1" applyFill="1" applyBorder="1" applyAlignment="1">
      <alignment vertical="justify"/>
    </xf>
    <xf numFmtId="43" fontId="30" fillId="4" borderId="6" xfId="0" applyNumberFormat="1" applyFont="1" applyFill="1" applyBorder="1"/>
    <xf numFmtId="3" fontId="3" fillId="3" borderId="6" xfId="0" applyNumberFormat="1" applyFont="1" applyFill="1" applyBorder="1" applyAlignment="1">
      <alignment horizontal="center" vertical="center"/>
    </xf>
    <xf numFmtId="3" fontId="3" fillId="0" borderId="6" xfId="0" applyNumberFormat="1" applyFont="1" applyBorder="1" applyAlignment="1">
      <alignment horizontal="center" vertical="center"/>
    </xf>
    <xf numFmtId="0" fontId="7" fillId="12" borderId="6" xfId="0" applyFont="1" applyFill="1" applyBorder="1" applyAlignment="1">
      <alignment horizontal="center" vertical="center"/>
    </xf>
    <xf numFmtId="0" fontId="7" fillId="8" borderId="6" xfId="0" applyFont="1" applyFill="1" applyBorder="1" applyAlignment="1">
      <alignment horizontal="center" vertical="center"/>
    </xf>
    <xf numFmtId="0" fontId="48" fillId="0" borderId="6" xfId="0" applyFont="1" applyBorder="1" applyAlignment="1">
      <alignment horizontal="center" vertical="center"/>
    </xf>
    <xf numFmtId="2" fontId="3" fillId="0" borderId="6" xfId="0" applyNumberFormat="1"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4" fontId="3" fillId="0" borderId="6" xfId="7" applyNumberFormat="1" applyFont="1" applyBorder="1" applyAlignment="1">
      <alignment horizontal="center" vertical="center"/>
    </xf>
    <xf numFmtId="2" fontId="3" fillId="0" borderId="7" xfId="0" applyNumberFormat="1" applyFont="1" applyBorder="1" applyAlignment="1">
      <alignment horizontal="center" vertical="center"/>
    </xf>
    <xf numFmtId="2" fontId="3" fillId="0" borderId="6" xfId="7" applyNumberFormat="1" applyFont="1" applyBorder="1" applyAlignment="1">
      <alignment horizontal="center" vertical="center"/>
    </xf>
    <xf numFmtId="170" fontId="3" fillId="0" borderId="6" xfId="0" applyNumberFormat="1" applyFont="1" applyBorder="1" applyAlignment="1">
      <alignment horizontal="center" vertical="center"/>
    </xf>
    <xf numFmtId="170" fontId="3" fillId="0" borderId="7" xfId="0" applyNumberFormat="1" applyFont="1" applyBorder="1" applyAlignment="1">
      <alignment horizontal="center" vertical="center"/>
    </xf>
    <xf numFmtId="170" fontId="3" fillId="0" borderId="6" xfId="7" applyNumberFormat="1" applyFont="1" applyBorder="1" applyAlignment="1">
      <alignment horizontal="center" vertical="center"/>
    </xf>
    <xf numFmtId="0" fontId="5" fillId="0" borderId="20" xfId="0" applyFont="1" applyBorder="1" applyAlignment="1">
      <alignment horizontal="right" vertical="center"/>
    </xf>
    <xf numFmtId="0" fontId="5" fillId="0" borderId="6" xfId="0" applyFont="1" applyBorder="1" applyAlignment="1">
      <alignment vertical="center"/>
    </xf>
    <xf numFmtId="0" fontId="4" fillId="0" borderId="29" xfId="0" applyFont="1" applyBorder="1" applyAlignment="1">
      <alignment vertical="center"/>
    </xf>
    <xf numFmtId="3" fontId="4" fillId="0" borderId="21" xfId="0" applyNumberFormat="1" applyFont="1" applyBorder="1" applyAlignment="1">
      <alignment vertical="center"/>
    </xf>
    <xf numFmtId="166" fontId="4" fillId="0" borderId="6" xfId="1" applyNumberFormat="1" applyFont="1" applyBorder="1" applyAlignment="1">
      <alignment vertical="top"/>
    </xf>
    <xf numFmtId="4" fontId="4" fillId="0" borderId="26" xfId="0" applyNumberFormat="1" applyFont="1" applyBorder="1" applyAlignment="1">
      <alignment horizontal="center" vertical="justify"/>
    </xf>
    <xf numFmtId="0" fontId="18" fillId="0" borderId="6" xfId="0" applyFont="1" applyBorder="1" applyAlignment="1">
      <alignment horizontal="center" vertical="center"/>
    </xf>
    <xf numFmtId="43" fontId="18" fillId="0" borderId="6" xfId="1" applyFont="1" applyFill="1" applyBorder="1" applyAlignment="1">
      <alignment horizontal="center" vertical="center"/>
    </xf>
    <xf numFmtId="166" fontId="18" fillId="0" borderId="6" xfId="1" applyNumberFormat="1" applyFont="1" applyFill="1" applyBorder="1" applyAlignment="1">
      <alignment horizontal="center" vertical="center"/>
    </xf>
    <xf numFmtId="166" fontId="19" fillId="0" borderId="21" xfId="1" applyNumberFormat="1" applyFont="1" applyFill="1" applyBorder="1" applyAlignment="1">
      <alignment horizontal="center" vertical="center"/>
    </xf>
    <xf numFmtId="0" fontId="18" fillId="5" borderId="20" xfId="0" applyFont="1" applyFill="1" applyBorder="1" applyAlignment="1">
      <alignment horizontal="center" vertical="center"/>
    </xf>
    <xf numFmtId="0" fontId="18" fillId="5" borderId="6" xfId="0" applyFont="1" applyFill="1" applyBorder="1" applyAlignment="1">
      <alignment vertical="center" wrapText="1"/>
    </xf>
    <xf numFmtId="0" fontId="18" fillId="5" borderId="6" xfId="0" applyFont="1" applyFill="1" applyBorder="1" applyAlignment="1">
      <alignment horizontal="center" vertical="center"/>
    </xf>
    <xf numFmtId="43" fontId="18" fillId="5" borderId="6" xfId="1" applyFont="1" applyFill="1" applyBorder="1" applyAlignment="1">
      <alignment horizontal="center" vertical="center"/>
    </xf>
    <xf numFmtId="166" fontId="18" fillId="5" borderId="6" xfId="1" applyNumberFormat="1" applyFont="1" applyFill="1" applyBorder="1" applyAlignment="1">
      <alignment horizontal="center" vertical="center"/>
    </xf>
    <xf numFmtId="166" fontId="18" fillId="5" borderId="21" xfId="1" applyNumberFormat="1" applyFont="1" applyFill="1" applyBorder="1" applyAlignment="1">
      <alignment horizontal="center" vertical="center"/>
    </xf>
    <xf numFmtId="0" fontId="19" fillId="5" borderId="6" xfId="0" applyFont="1" applyFill="1" applyBorder="1" applyAlignment="1">
      <alignment vertical="center" wrapText="1"/>
    </xf>
    <xf numFmtId="166" fontId="18" fillId="5" borderId="6" xfId="1" applyNumberFormat="1" applyFont="1" applyFill="1" applyBorder="1" applyAlignment="1">
      <alignment vertical="center" wrapText="1"/>
    </xf>
    <xf numFmtId="0" fontId="35" fillId="0" borderId="0" xfId="0" applyFont="1"/>
    <xf numFmtId="0" fontId="18" fillId="5" borderId="6" xfId="0" applyFont="1" applyFill="1" applyBorder="1" applyAlignment="1">
      <alignment horizontal="center" vertical="center" wrapText="1"/>
    </xf>
    <xf numFmtId="0" fontId="39" fillId="0" borderId="29" xfId="7" applyFont="1" applyBorder="1" applyAlignment="1">
      <alignment horizontal="center" vertical="center"/>
    </xf>
    <xf numFmtId="0" fontId="51" fillId="0" borderId="20" xfId="0" applyFont="1" applyBorder="1"/>
    <xf numFmtId="0" fontId="52" fillId="0" borderId="6" xfId="0" applyFont="1" applyBorder="1" applyAlignment="1">
      <alignment horizontal="justify" vertical="center" wrapText="1"/>
    </xf>
    <xf numFmtId="0" fontId="53" fillId="0" borderId="6" xfId="0" applyFont="1" applyBorder="1"/>
    <xf numFmtId="0" fontId="54" fillId="0" borderId="6" xfId="0" applyFont="1" applyBorder="1"/>
    <xf numFmtId="0" fontId="53" fillId="0" borderId="21" xfId="0" applyFont="1" applyBorder="1"/>
    <xf numFmtId="0" fontId="53" fillId="0" borderId="0" xfId="0" applyFont="1"/>
    <xf numFmtId="0" fontId="55" fillId="0" borderId="0" xfId="0" applyFont="1" applyAlignment="1">
      <alignment horizontal="center" vertical="center"/>
    </xf>
    <xf numFmtId="0" fontId="55" fillId="0" borderId="0" xfId="0" applyFont="1" applyAlignment="1">
      <alignment vertical="center" wrapText="1"/>
    </xf>
    <xf numFmtId="43" fontId="55" fillId="0" borderId="0" xfId="1" applyFont="1" applyBorder="1" applyAlignment="1">
      <alignment vertical="center"/>
    </xf>
    <xf numFmtId="166" fontId="55" fillId="0" borderId="0" xfId="1" applyNumberFormat="1" applyFont="1" applyBorder="1" applyAlignment="1">
      <alignment horizontal="center" vertical="center"/>
    </xf>
    <xf numFmtId="0" fontId="55" fillId="0" borderId="0" xfId="0" applyFont="1" applyAlignment="1">
      <alignment vertical="center"/>
    </xf>
    <xf numFmtId="0" fontId="14" fillId="0" borderId="4" xfId="0" applyFont="1" applyBorder="1" applyAlignment="1">
      <alignment horizontal="right" vertical="center"/>
    </xf>
    <xf numFmtId="0" fontId="56" fillId="0" borderId="0" xfId="0" applyFont="1" applyAlignment="1">
      <alignment vertical="top" wrapText="1"/>
    </xf>
    <xf numFmtId="0" fontId="14" fillId="0" borderId="0" xfId="0" applyFont="1" applyAlignment="1">
      <alignment horizontal="center" vertical="center"/>
    </xf>
    <xf numFmtId="43" fontId="14" fillId="0" borderId="0" xfId="1" applyFont="1" applyBorder="1" applyAlignment="1">
      <alignment horizontal="center" vertical="center"/>
    </xf>
    <xf numFmtId="166" fontId="14" fillId="0" borderId="0" xfId="1" applyNumberFormat="1" applyFont="1" applyBorder="1" applyAlignment="1">
      <alignment horizontal="right" vertical="center"/>
    </xf>
    <xf numFmtId="0" fontId="14" fillId="0" borderId="0" xfId="0" applyFont="1" applyAlignment="1">
      <alignment vertical="center" wrapText="1"/>
    </xf>
    <xf numFmtId="0" fontId="14" fillId="0" borderId="1" xfId="0" applyFont="1" applyBorder="1" applyAlignment="1">
      <alignment horizontal="right" vertical="center"/>
    </xf>
    <xf numFmtId="0" fontId="12" fillId="3" borderId="2" xfId="0" applyFont="1" applyFill="1" applyBorder="1" applyAlignment="1">
      <alignment vertical="top" wrapText="1"/>
    </xf>
    <xf numFmtId="0" fontId="14" fillId="0" borderId="2" xfId="0" applyFont="1" applyBorder="1" applyAlignment="1">
      <alignment horizontal="center" vertical="center"/>
    </xf>
    <xf numFmtId="43" fontId="14" fillId="0" borderId="2" xfId="1" applyFont="1" applyBorder="1" applyAlignment="1">
      <alignment horizontal="center" vertical="center"/>
    </xf>
    <xf numFmtId="166" fontId="14" fillId="0" borderId="2" xfId="1" applyNumberFormat="1" applyFont="1" applyBorder="1" applyAlignment="1">
      <alignment horizontal="right" vertical="center"/>
    </xf>
    <xf numFmtId="166" fontId="14" fillId="0" borderId="3" xfId="1" applyNumberFormat="1" applyFont="1" applyBorder="1" applyAlignment="1">
      <alignment horizontal="right" vertical="center"/>
    </xf>
    <xf numFmtId="166" fontId="14" fillId="0" borderId="5" xfId="1" applyNumberFormat="1" applyFont="1" applyBorder="1" applyAlignment="1">
      <alignment horizontal="right" vertical="center"/>
    </xf>
    <xf numFmtId="0" fontId="57" fillId="0" borderId="0" xfId="0" applyFont="1" applyAlignment="1">
      <alignment horizontal="justify" vertical="center" wrapText="1"/>
    </xf>
    <xf numFmtId="0" fontId="56" fillId="0" borderId="20" xfId="0" applyFont="1" applyBorder="1" applyAlignment="1">
      <alignment horizontal="center" vertical="center"/>
    </xf>
    <xf numFmtId="0" fontId="56" fillId="0" borderId="6" xfId="0" applyFont="1" applyBorder="1" applyAlignment="1">
      <alignment vertical="center" wrapText="1"/>
    </xf>
    <xf numFmtId="0" fontId="55" fillId="0" borderId="6" xfId="0" applyFont="1" applyBorder="1" applyAlignment="1">
      <alignment horizontal="center" vertical="center"/>
    </xf>
    <xf numFmtId="43" fontId="55" fillId="0" borderId="6" xfId="1" applyFont="1" applyFill="1" applyBorder="1" applyAlignment="1">
      <alignment horizontal="center" vertical="center"/>
    </xf>
    <xf numFmtId="166" fontId="55" fillId="0" borderId="6" xfId="1" applyNumberFormat="1" applyFont="1" applyFill="1" applyBorder="1" applyAlignment="1">
      <alignment horizontal="center" vertical="center"/>
    </xf>
    <xf numFmtId="166" fontId="56" fillId="0" borderId="21" xfId="1" applyNumberFormat="1" applyFont="1" applyFill="1" applyBorder="1" applyAlignment="1">
      <alignment horizontal="center" vertical="center"/>
    </xf>
    <xf numFmtId="0" fontId="55" fillId="0" borderId="20" xfId="0" applyFont="1" applyBorder="1" applyAlignment="1">
      <alignment horizontal="center" vertical="center"/>
    </xf>
    <xf numFmtId="0" fontId="55" fillId="0" borderId="6" xfId="8" applyFont="1" applyBorder="1" applyAlignment="1">
      <alignment vertical="center" wrapText="1"/>
    </xf>
    <xf numFmtId="43" fontId="55" fillId="0" borderId="6" xfId="1" applyFont="1" applyBorder="1" applyAlignment="1">
      <alignment horizontal="right" vertical="center"/>
    </xf>
    <xf numFmtId="166" fontId="55" fillId="0" borderId="6" xfId="1" applyNumberFormat="1" applyFont="1" applyBorder="1" applyAlignment="1">
      <alignment horizontal="center" vertical="center"/>
    </xf>
    <xf numFmtId="166" fontId="55" fillId="0" borderId="21" xfId="1" applyNumberFormat="1" applyFont="1" applyBorder="1" applyAlignment="1">
      <alignment horizontal="center" vertical="center"/>
    </xf>
    <xf numFmtId="43" fontId="55" fillId="0" borderId="6" xfId="1" applyFont="1" applyFill="1" applyBorder="1" applyAlignment="1">
      <alignment horizontal="right" vertical="center"/>
    </xf>
    <xf numFmtId="166" fontId="55" fillId="5" borderId="6" xfId="1" applyNumberFormat="1" applyFont="1" applyFill="1" applyBorder="1" applyAlignment="1">
      <alignment horizontal="center" vertical="center"/>
    </xf>
    <xf numFmtId="0" fontId="55" fillId="0" borderId="6" xfId="0" applyFont="1" applyBorder="1" applyAlignment="1">
      <alignment vertical="center" wrapText="1"/>
    </xf>
    <xf numFmtId="166" fontId="55" fillId="0" borderId="21" xfId="1" applyNumberFormat="1" applyFont="1" applyFill="1" applyBorder="1" applyAlignment="1">
      <alignment horizontal="center" vertical="center"/>
    </xf>
    <xf numFmtId="0" fontId="55" fillId="5" borderId="6" xfId="0" applyFont="1" applyFill="1" applyBorder="1" applyAlignment="1">
      <alignment horizontal="center" vertical="center"/>
    </xf>
    <xf numFmtId="43" fontId="55" fillId="5" borderId="6" xfId="1" applyFont="1" applyFill="1" applyBorder="1" applyAlignment="1">
      <alignment horizontal="right" vertical="center"/>
    </xf>
    <xf numFmtId="166" fontId="55" fillId="5" borderId="21" xfId="1" applyNumberFormat="1" applyFont="1" applyFill="1" applyBorder="1" applyAlignment="1">
      <alignment horizontal="center" vertical="center"/>
    </xf>
    <xf numFmtId="0" fontId="55" fillId="5" borderId="6" xfId="0" applyFont="1" applyFill="1" applyBorder="1" applyAlignment="1">
      <alignment vertical="center" wrapText="1"/>
    </xf>
    <xf numFmtId="3" fontId="59" fillId="0" borderId="6" xfId="0" applyNumberFormat="1" applyFont="1" applyBorder="1" applyAlignment="1">
      <alignment horizontal="center" vertical="justify"/>
    </xf>
    <xf numFmtId="4" fontId="14" fillId="5" borderId="6" xfId="0" applyNumberFormat="1" applyFont="1" applyFill="1" applyBorder="1" applyAlignment="1">
      <alignment horizontal="center" vertical="top"/>
    </xf>
    <xf numFmtId="4" fontId="55" fillId="0" borderId="0" xfId="0" applyNumberFormat="1" applyFont="1" applyAlignment="1">
      <alignment vertical="center"/>
    </xf>
    <xf numFmtId="43" fontId="55" fillId="0" borderId="6" xfId="1" applyFont="1" applyBorder="1" applyAlignment="1">
      <alignment horizontal="center" vertical="center"/>
    </xf>
    <xf numFmtId="0" fontId="60" fillId="0" borderId="20" xfId="0" applyFont="1" applyBorder="1" applyAlignment="1">
      <alignment horizontal="center" vertical="center"/>
    </xf>
    <xf numFmtId="0" fontId="60" fillId="0" borderId="6" xfId="0" applyFont="1" applyBorder="1" applyAlignment="1">
      <alignment vertical="center" wrapText="1"/>
    </xf>
    <xf numFmtId="0" fontId="60" fillId="0" borderId="6" xfId="0" applyFont="1" applyBorder="1" applyAlignment="1">
      <alignment horizontal="center" vertical="center"/>
    </xf>
    <xf numFmtId="43" fontId="60" fillId="0" borderId="6" xfId="1" applyFont="1" applyBorder="1" applyAlignment="1">
      <alignment horizontal="center" vertical="center"/>
    </xf>
    <xf numFmtId="166" fontId="60" fillId="0" borderId="6" xfId="1" applyNumberFormat="1" applyFont="1" applyBorder="1" applyAlignment="1">
      <alignment horizontal="center" vertical="center"/>
    </xf>
    <xf numFmtId="166" fontId="60" fillId="0" borderId="21" xfId="1" applyNumberFormat="1" applyFont="1" applyBorder="1" applyAlignment="1">
      <alignment horizontal="center" vertical="center"/>
    </xf>
    <xf numFmtId="171" fontId="55" fillId="5" borderId="6" xfId="1" applyNumberFormat="1" applyFont="1" applyFill="1" applyBorder="1" applyAlignment="1">
      <alignment vertical="center"/>
    </xf>
    <xf numFmtId="0" fontId="55" fillId="5" borderId="0" xfId="0" applyFont="1" applyFill="1" applyAlignment="1">
      <alignment vertical="center"/>
    </xf>
    <xf numFmtId="0" fontId="14" fillId="5" borderId="6" xfId="0" applyFont="1" applyFill="1" applyBorder="1" applyAlignment="1">
      <alignment vertical="top" wrapText="1"/>
    </xf>
    <xf numFmtId="3" fontId="14" fillId="5" borderId="6" xfId="1" applyNumberFormat="1" applyFont="1" applyFill="1" applyBorder="1" applyAlignment="1">
      <alignment horizontal="right" vertical="top"/>
    </xf>
    <xf numFmtId="0" fontId="55" fillId="5" borderId="20" xfId="0" applyFont="1" applyFill="1" applyBorder="1" applyAlignment="1">
      <alignment horizontal="center" vertical="center"/>
    </xf>
    <xf numFmtId="43" fontId="55" fillId="5" borderId="6" xfId="1" applyFont="1" applyFill="1" applyBorder="1" applyAlignment="1">
      <alignment horizontal="center" vertical="center"/>
    </xf>
    <xf numFmtId="43" fontId="55" fillId="5" borderId="6" xfId="1" applyFont="1" applyFill="1" applyBorder="1" applyAlignment="1">
      <alignment horizontal="center" vertical="center" wrapText="1"/>
    </xf>
    <xf numFmtId="166" fontId="55" fillId="5" borderId="6" xfId="1" applyNumberFormat="1" applyFont="1" applyFill="1" applyBorder="1" applyAlignment="1">
      <alignment horizontal="left" vertical="center" wrapText="1"/>
    </xf>
    <xf numFmtId="166" fontId="55" fillId="5" borderId="6" xfId="1" applyNumberFormat="1" applyFont="1" applyFill="1" applyBorder="1" applyAlignment="1">
      <alignment horizontal="center" vertical="center" wrapText="1"/>
    </xf>
    <xf numFmtId="0" fontId="56" fillId="5" borderId="6" xfId="0" applyFont="1" applyFill="1" applyBorder="1" applyAlignment="1">
      <alignment vertical="center" wrapText="1"/>
    </xf>
    <xf numFmtId="166" fontId="56" fillId="5" borderId="21" xfId="1" applyNumberFormat="1" applyFont="1" applyFill="1" applyBorder="1" applyAlignment="1">
      <alignment horizontal="center" vertical="center"/>
    </xf>
    <xf numFmtId="0" fontId="12" fillId="0" borderId="30" xfId="0" applyFont="1" applyBorder="1" applyAlignment="1">
      <alignment horizontal="justify" vertical="distributed"/>
    </xf>
    <xf numFmtId="0" fontId="12" fillId="0" borderId="6" xfId="0" applyFont="1" applyBorder="1" applyAlignment="1">
      <alignment horizontal="center"/>
    </xf>
    <xf numFmtId="4" fontId="12" fillId="0" borderId="6" xfId="0" applyNumberFormat="1" applyFont="1" applyBorder="1" applyAlignment="1">
      <alignment horizontal="center"/>
    </xf>
    <xf numFmtId="3" fontId="12" fillId="0" borderId="6" xfId="0" applyNumberFormat="1" applyFont="1" applyBorder="1" applyAlignment="1">
      <alignment horizontal="right"/>
    </xf>
    <xf numFmtId="0" fontId="56" fillId="0" borderId="6" xfId="0" applyFont="1" applyBorder="1" applyAlignment="1">
      <alignment vertical="center"/>
    </xf>
    <xf numFmtId="0" fontId="55" fillId="5" borderId="6" xfId="0" applyFont="1" applyFill="1" applyBorder="1" applyAlignment="1">
      <alignment vertical="center"/>
    </xf>
    <xf numFmtId="0" fontId="61" fillId="0" borderId="6" xfId="0" applyFont="1" applyBorder="1" applyAlignment="1">
      <alignment horizontal="center"/>
    </xf>
    <xf numFmtId="171" fontId="55" fillId="5" borderId="6" xfId="1" applyNumberFormat="1" applyFont="1" applyFill="1" applyBorder="1" applyAlignment="1">
      <alignment horizontal="center" vertical="center"/>
    </xf>
    <xf numFmtId="0" fontId="7" fillId="0" borderId="20" xfId="0" applyFont="1" applyBorder="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horizontal="center" vertical="center"/>
    </xf>
    <xf numFmtId="43" fontId="7" fillId="0" borderId="6" xfId="1" applyFont="1" applyFill="1" applyBorder="1" applyAlignment="1">
      <alignment horizontal="left" vertical="center"/>
    </xf>
    <xf numFmtId="166" fontId="7" fillId="0" borderId="6" xfId="1" applyNumberFormat="1" applyFont="1" applyFill="1" applyBorder="1" applyAlignment="1">
      <alignment horizontal="center" vertical="center"/>
    </xf>
    <xf numFmtId="166" fontId="7" fillId="0" borderId="21" xfId="1" applyNumberFormat="1" applyFont="1" applyFill="1" applyBorder="1" applyAlignment="1">
      <alignment horizontal="center" vertical="center"/>
    </xf>
    <xf numFmtId="0" fontId="3" fillId="0" borderId="0" xfId="0" applyFont="1" applyAlignment="1">
      <alignment vertical="center"/>
    </xf>
    <xf numFmtId="0" fontId="3" fillId="5" borderId="6" xfId="0" applyFont="1" applyFill="1" applyBorder="1" applyAlignment="1">
      <alignment vertical="center" wrapText="1"/>
    </xf>
    <xf numFmtId="0" fontId="62" fillId="5" borderId="0" xfId="0" applyFont="1" applyFill="1" applyAlignment="1">
      <alignment vertical="center"/>
    </xf>
    <xf numFmtId="166" fontId="3" fillId="5" borderId="6" xfId="1" applyNumberFormat="1" applyFont="1" applyFill="1" applyBorder="1" applyAlignment="1">
      <alignment horizontal="center" vertical="center"/>
    </xf>
    <xf numFmtId="0" fontId="7" fillId="16" borderId="26" xfId="0" applyFont="1" applyFill="1" applyBorder="1" applyAlignment="1">
      <alignment vertical="center" wrapText="1"/>
    </xf>
    <xf numFmtId="0" fontId="3" fillId="16" borderId="26" xfId="0" applyFont="1" applyFill="1" applyBorder="1" applyAlignment="1">
      <alignment horizontal="center" vertical="center"/>
    </xf>
    <xf numFmtId="43" fontId="7" fillId="16" borderId="26" xfId="1" applyFont="1" applyFill="1" applyBorder="1" applyAlignment="1">
      <alignment horizontal="right" vertical="center"/>
    </xf>
    <xf numFmtId="166" fontId="3" fillId="16" borderId="26" xfId="1" applyNumberFormat="1" applyFont="1" applyFill="1" applyBorder="1" applyAlignment="1">
      <alignment horizontal="center" vertical="center"/>
    </xf>
    <xf numFmtId="0" fontId="3" fillId="5" borderId="6" xfId="0" applyFont="1" applyFill="1" applyBorder="1" applyAlignment="1">
      <alignment horizontal="center" vertical="center"/>
    </xf>
    <xf numFmtId="166" fontId="3" fillId="5" borderId="21" xfId="1" applyNumberFormat="1" applyFont="1" applyFill="1" applyBorder="1" applyAlignment="1">
      <alignment horizontal="center" vertical="center"/>
    </xf>
    <xf numFmtId="43" fontId="3" fillId="0" borderId="6" xfId="1" applyFont="1" applyFill="1" applyBorder="1" applyAlignment="1">
      <alignment horizontal="center" vertical="center"/>
    </xf>
    <xf numFmtId="166" fontId="3" fillId="0" borderId="6" xfId="1" applyNumberFormat="1" applyFont="1" applyFill="1" applyBorder="1" applyAlignment="1">
      <alignment horizontal="center" vertical="center"/>
    </xf>
    <xf numFmtId="0" fontId="7" fillId="0" borderId="6" xfId="0" applyFont="1" applyBorder="1" applyAlignment="1">
      <alignment vertical="center" wrapText="1"/>
    </xf>
    <xf numFmtId="166" fontId="4" fillId="0" borderId="6" xfId="1" applyNumberFormat="1" applyFont="1" applyBorder="1" applyAlignment="1">
      <alignment vertical="center" wrapText="1"/>
    </xf>
    <xf numFmtId="0" fontId="5" fillId="0" borderId="6" xfId="0" applyFont="1" applyBorder="1" applyAlignment="1">
      <alignment vertical="center" wrapText="1"/>
    </xf>
    <xf numFmtId="166" fontId="7" fillId="16" borderId="7" xfId="1" applyNumberFormat="1" applyFont="1" applyFill="1" applyBorder="1" applyAlignment="1">
      <alignment horizontal="center" vertical="center"/>
    </xf>
    <xf numFmtId="0" fontId="3" fillId="16" borderId="25" xfId="0" applyFont="1" applyFill="1" applyBorder="1" applyAlignment="1">
      <alignment horizontal="center" vertical="center"/>
    </xf>
    <xf numFmtId="0" fontId="7" fillId="0" borderId="26" xfId="0" applyFont="1" applyBorder="1" applyAlignment="1">
      <alignment vertical="center" wrapText="1"/>
    </xf>
    <xf numFmtId="0" fontId="3" fillId="0" borderId="26" xfId="0" applyFont="1" applyBorder="1" applyAlignment="1">
      <alignment horizontal="center" vertical="center"/>
    </xf>
    <xf numFmtId="43" fontId="7" fillId="0" borderId="26" xfId="1" applyFont="1" applyFill="1" applyBorder="1" applyAlignment="1">
      <alignment horizontal="right" vertical="center"/>
    </xf>
    <xf numFmtId="166" fontId="3" fillId="0" borderId="26" xfId="1" applyNumberFormat="1" applyFont="1" applyFill="1" applyBorder="1" applyAlignment="1">
      <alignment horizontal="center" vertical="center"/>
    </xf>
    <xf numFmtId="0" fontId="55" fillId="16" borderId="25" xfId="0" applyFont="1" applyFill="1" applyBorder="1" applyAlignment="1">
      <alignment horizontal="center" vertical="center"/>
    </xf>
    <xf numFmtId="0" fontId="56" fillId="16" borderId="26" xfId="0" applyFont="1" applyFill="1" applyBorder="1" applyAlignment="1">
      <alignment vertical="center" wrapText="1"/>
    </xf>
    <xf numFmtId="0" fontId="55" fillId="16" borderId="26" xfId="0" applyFont="1" applyFill="1" applyBorder="1" applyAlignment="1">
      <alignment horizontal="center" vertical="center"/>
    </xf>
    <xf numFmtId="43" fontId="56" fillId="16" borderId="26" xfId="1" applyFont="1" applyFill="1" applyBorder="1" applyAlignment="1">
      <alignment horizontal="right" vertical="center"/>
    </xf>
    <xf numFmtId="166" fontId="55" fillId="16" borderId="26" xfId="1" applyNumberFormat="1" applyFont="1" applyFill="1" applyBorder="1" applyAlignment="1">
      <alignment horizontal="center" vertical="center"/>
    </xf>
    <xf numFmtId="166" fontId="56" fillId="16" borderId="21" xfId="1" applyNumberFormat="1" applyFont="1" applyFill="1" applyBorder="1" applyAlignment="1">
      <alignment horizontal="center" vertical="center"/>
    </xf>
    <xf numFmtId="0" fontId="55" fillId="0" borderId="25" xfId="0" applyFont="1" applyBorder="1" applyAlignment="1">
      <alignment horizontal="center" vertical="center"/>
    </xf>
    <xf numFmtId="0" fontId="56" fillId="0" borderId="26" xfId="0" applyFont="1" applyBorder="1" applyAlignment="1">
      <alignment vertical="center" wrapText="1"/>
    </xf>
    <xf numFmtId="0" fontId="55" fillId="0" borderId="26" xfId="0" applyFont="1" applyBorder="1" applyAlignment="1">
      <alignment horizontal="center" vertical="center"/>
    </xf>
    <xf numFmtId="43" fontId="56" fillId="0" borderId="26" xfId="1" applyFont="1" applyFill="1" applyBorder="1" applyAlignment="1">
      <alignment horizontal="right" vertical="center"/>
    </xf>
    <xf numFmtId="166" fontId="55" fillId="0" borderId="26" xfId="1" applyNumberFormat="1" applyFont="1" applyFill="1" applyBorder="1" applyAlignment="1">
      <alignment horizontal="center" vertical="center"/>
    </xf>
    <xf numFmtId="43" fontId="56" fillId="16" borderId="21" xfId="1" applyFont="1" applyFill="1" applyBorder="1" applyAlignment="1">
      <alignment horizontal="center" vertical="center"/>
    </xf>
    <xf numFmtId="166" fontId="56" fillId="0" borderId="21" xfId="1" applyNumberFormat="1" applyFont="1" applyBorder="1" applyAlignment="1">
      <alignment horizontal="center" vertical="center"/>
    </xf>
    <xf numFmtId="43" fontId="56" fillId="0" borderId="21" xfId="1" applyFont="1" applyFill="1" applyBorder="1" applyAlignment="1">
      <alignment horizontal="center" vertical="center"/>
    </xf>
    <xf numFmtId="4" fontId="14" fillId="5" borderId="6" xfId="0" applyNumberFormat="1" applyFont="1" applyFill="1" applyBorder="1" applyAlignment="1">
      <alignment horizontal="left" vertical="top"/>
    </xf>
    <xf numFmtId="3" fontId="59" fillId="0" borderId="6" xfId="0" applyNumberFormat="1" applyFont="1" applyBorder="1" applyAlignment="1">
      <alignment horizontal="left" vertical="center"/>
    </xf>
    <xf numFmtId="166" fontId="55" fillId="5" borderId="6" xfId="1" applyNumberFormat="1" applyFont="1" applyFill="1" applyBorder="1" applyAlignment="1">
      <alignment vertical="center"/>
    </xf>
    <xf numFmtId="166" fontId="55" fillId="5" borderId="21" xfId="1" applyNumberFormat="1" applyFont="1" applyFill="1" applyBorder="1" applyAlignment="1">
      <alignment vertical="center"/>
    </xf>
    <xf numFmtId="43" fontId="65" fillId="0" borderId="6" xfId="1" applyFont="1" applyBorder="1" applyAlignment="1">
      <alignment horizontal="right" vertical="center"/>
    </xf>
    <xf numFmtId="43" fontId="65" fillId="5" borderId="6" xfId="1" applyFont="1" applyFill="1" applyBorder="1" applyAlignment="1">
      <alignment horizontal="right" vertical="center"/>
    </xf>
    <xf numFmtId="0" fontId="3" fillId="0" borderId="20" xfId="0" applyFont="1" applyBorder="1" applyAlignment="1">
      <alignment horizontal="center" vertical="center"/>
    </xf>
    <xf numFmtId="0" fontId="3" fillId="0" borderId="6" xfId="0" applyFont="1" applyBorder="1" applyAlignment="1">
      <alignment vertical="center" wrapText="1"/>
    </xf>
    <xf numFmtId="43" fontId="66" fillId="0" borderId="6" xfId="1" applyFont="1" applyBorder="1" applyAlignment="1">
      <alignment horizontal="right" vertical="center"/>
    </xf>
    <xf numFmtId="166" fontId="3" fillId="0" borderId="6" xfId="1" applyNumberFormat="1" applyFont="1" applyBorder="1" applyAlignment="1">
      <alignment horizontal="center" vertical="center"/>
    </xf>
    <xf numFmtId="166" fontId="3" fillId="0" borderId="21" xfId="1" applyNumberFormat="1" applyFont="1" applyBorder="1" applyAlignment="1">
      <alignment horizontal="center" vertical="center"/>
    </xf>
    <xf numFmtId="43" fontId="67" fillId="0" borderId="6" xfId="1" applyFont="1" applyBorder="1" applyAlignment="1">
      <alignment horizontal="right" vertical="center"/>
    </xf>
    <xf numFmtId="166" fontId="3" fillId="0" borderId="21" xfId="1" applyNumberFormat="1" applyFont="1" applyFill="1" applyBorder="1" applyAlignment="1">
      <alignment horizontal="center" vertical="center"/>
    </xf>
    <xf numFmtId="43" fontId="67" fillId="5" borderId="6" xfId="1" applyFont="1" applyFill="1" applyBorder="1" applyAlignment="1">
      <alignment horizontal="right" vertical="center"/>
    </xf>
    <xf numFmtId="166" fontId="7" fillId="16" borderId="21" xfId="1" applyNumberFormat="1" applyFont="1" applyFill="1" applyBorder="1" applyAlignment="1">
      <alignment horizontal="center" vertical="center"/>
    </xf>
    <xf numFmtId="0" fontId="36" fillId="17" borderId="6" xfId="0" applyFont="1" applyFill="1" applyBorder="1" applyAlignment="1">
      <alignment horizontal="center" wrapText="1"/>
    </xf>
    <xf numFmtId="0" fontId="36" fillId="4" borderId="6" xfId="0" applyFont="1" applyFill="1" applyBorder="1" applyAlignment="1">
      <alignment horizontal="center" wrapText="1"/>
    </xf>
    <xf numFmtId="0" fontId="38" fillId="4" borderId="6" xfId="0" applyFont="1" applyFill="1" applyBorder="1" applyAlignment="1">
      <alignment vertical="justify" wrapText="1"/>
    </xf>
    <xf numFmtId="0" fontId="68" fillId="4" borderId="6" xfId="0" applyFont="1" applyFill="1" applyBorder="1" applyAlignment="1">
      <alignment horizontal="center" vertical="center" wrapText="1"/>
    </xf>
    <xf numFmtId="43" fontId="35" fillId="4" borderId="6" xfId="1" applyFont="1" applyFill="1" applyBorder="1" applyAlignment="1">
      <alignment horizontal="center" vertical="center" wrapText="1"/>
    </xf>
    <xf numFmtId="166" fontId="35" fillId="4" borderId="6" xfId="1" applyNumberFormat="1" applyFont="1" applyFill="1" applyBorder="1" applyAlignment="1">
      <alignment horizontal="center" vertical="center" wrapText="1"/>
    </xf>
    <xf numFmtId="166" fontId="38" fillId="4" borderId="6" xfId="1" applyNumberFormat="1" applyFont="1" applyFill="1" applyBorder="1" applyAlignment="1">
      <alignment horizontal="center" vertical="center" wrapText="1"/>
    </xf>
    <xf numFmtId="0" fontId="35" fillId="17" borderId="6" xfId="0" applyFont="1" applyFill="1" applyBorder="1" applyAlignment="1">
      <alignment wrapText="1"/>
    </xf>
    <xf numFmtId="0" fontId="38" fillId="17" borderId="6" xfId="0" applyFont="1" applyFill="1" applyBorder="1" applyAlignment="1">
      <alignment vertical="justify" wrapText="1"/>
    </xf>
    <xf numFmtId="0" fontId="38" fillId="17" borderId="6" xfId="0" applyFont="1" applyFill="1" applyBorder="1" applyAlignment="1">
      <alignment horizontal="center" vertical="center"/>
    </xf>
    <xf numFmtId="43" fontId="36" fillId="17" borderId="6" xfId="1" applyFont="1" applyFill="1" applyBorder="1" applyAlignment="1">
      <alignment horizontal="center" vertical="center"/>
    </xf>
    <xf numFmtId="166" fontId="35" fillId="17" borderId="6" xfId="1" applyNumberFormat="1" applyFont="1" applyFill="1" applyBorder="1" applyAlignment="1">
      <alignment horizontal="center" vertical="center"/>
    </xf>
    <xf numFmtId="166" fontId="38" fillId="17" borderId="6" xfId="1" applyNumberFormat="1" applyFont="1" applyFill="1" applyBorder="1" applyAlignment="1">
      <alignment horizontal="center" vertical="center" wrapText="1"/>
    </xf>
    <xf numFmtId="0" fontId="35" fillId="18" borderId="6" xfId="0" applyFont="1" applyFill="1" applyBorder="1" applyAlignment="1">
      <alignment wrapText="1"/>
    </xf>
    <xf numFmtId="0" fontId="38" fillId="18" borderId="6" xfId="0" applyFont="1" applyFill="1" applyBorder="1" applyAlignment="1">
      <alignment vertical="justify" wrapText="1"/>
    </xf>
    <xf numFmtId="0" fontId="38" fillId="18" borderId="6" xfId="0" applyFont="1" applyFill="1" applyBorder="1" applyAlignment="1">
      <alignment horizontal="center" vertical="center" wrapText="1"/>
    </xf>
    <xf numFmtId="43" fontId="36" fillId="18" borderId="6" xfId="1" applyFont="1" applyFill="1" applyBorder="1" applyAlignment="1">
      <alignment horizontal="center" vertical="center" wrapText="1"/>
    </xf>
    <xf numFmtId="166" fontId="36" fillId="18" borderId="6" xfId="1" applyNumberFormat="1" applyFont="1" applyFill="1" applyBorder="1" applyAlignment="1">
      <alignment horizontal="center" vertical="center" wrapText="1"/>
    </xf>
    <xf numFmtId="166" fontId="38" fillId="18" borderId="6" xfId="1" applyNumberFormat="1" applyFont="1" applyFill="1" applyBorder="1" applyAlignment="1">
      <alignment horizontal="center" vertical="center" wrapText="1"/>
    </xf>
    <xf numFmtId="0" fontId="36" fillId="0" borderId="6" xfId="0" applyFont="1" applyBorder="1" applyAlignment="1">
      <alignment horizontal="center" wrapText="1"/>
    </xf>
    <xf numFmtId="0" fontId="68" fillId="0" borderId="6" xfId="0" applyFont="1" applyBorder="1" applyAlignment="1">
      <alignment horizontal="center" vertical="center" wrapText="1"/>
    </xf>
    <xf numFmtId="43" fontId="35" fillId="0" borderId="6" xfId="1" applyFont="1" applyFill="1" applyBorder="1" applyAlignment="1">
      <alignment horizontal="center" vertical="center" wrapText="1"/>
    </xf>
    <xf numFmtId="166" fontId="35" fillId="0" borderId="6" xfId="1" applyNumberFormat="1" applyFont="1" applyFill="1" applyBorder="1" applyAlignment="1">
      <alignment horizontal="center" vertical="center" wrapText="1"/>
    </xf>
    <xf numFmtId="3" fontId="3" fillId="0" borderId="6" xfId="0" applyNumberFormat="1" applyFont="1" applyBorder="1" applyAlignment="1">
      <alignment horizontal="center" vertical="justify"/>
    </xf>
    <xf numFmtId="3" fontId="71" fillId="11" borderId="21" xfId="0" applyNumberFormat="1" applyFont="1" applyFill="1" applyBorder="1" applyAlignment="1">
      <alignment vertical="center"/>
    </xf>
    <xf numFmtId="3" fontId="72" fillId="12" borderId="21" xfId="0" applyNumberFormat="1" applyFont="1" applyFill="1" applyBorder="1" applyAlignment="1">
      <alignment horizontal="right" vertical="center"/>
    </xf>
    <xf numFmtId="167" fontId="33" fillId="12" borderId="6" xfId="1" applyNumberFormat="1" applyFont="1" applyFill="1" applyBorder="1" applyAlignment="1">
      <alignment horizontal="center" vertical="center"/>
    </xf>
    <xf numFmtId="0" fontId="33" fillId="12" borderId="6" xfId="0" applyFont="1" applyFill="1" applyBorder="1" applyAlignment="1">
      <alignment horizontal="center" vertical="center"/>
    </xf>
    <xf numFmtId="166" fontId="20" fillId="0" borderId="0" xfId="0" applyNumberFormat="1" applyFont="1" applyAlignment="1">
      <alignment vertical="center"/>
    </xf>
    <xf numFmtId="0" fontId="73" fillId="0" borderId="4" xfId="0" applyFont="1" applyBorder="1" applyAlignment="1">
      <alignment horizontal="right"/>
    </xf>
    <xf numFmtId="3" fontId="73" fillId="0" borderId="0" xfId="0" applyNumberFormat="1" applyFont="1" applyAlignment="1">
      <alignment horizontal="center" vertical="center"/>
    </xf>
    <xf numFmtId="164" fontId="73" fillId="0" borderId="0" xfId="0" applyNumberFormat="1" applyFont="1" applyAlignment="1">
      <alignment horizontal="right" vertical="center"/>
    </xf>
    <xf numFmtId="3" fontId="73" fillId="0" borderId="5" xfId="0" applyNumberFormat="1" applyFont="1" applyBorder="1" applyAlignment="1">
      <alignment horizontal="right"/>
    </xf>
    <xf numFmtId="0" fontId="75" fillId="0" borderId="0" xfId="0" applyFont="1"/>
    <xf numFmtId="0" fontId="73" fillId="5" borderId="4" xfId="0" applyFont="1" applyFill="1" applyBorder="1" applyAlignment="1">
      <alignment horizontal="right"/>
    </xf>
    <xf numFmtId="0" fontId="74" fillId="15" borderId="7" xfId="0" applyFont="1" applyFill="1" applyBorder="1" applyAlignment="1">
      <alignment horizontal="left"/>
    </xf>
    <xf numFmtId="0" fontId="74" fillId="15" borderId="8" xfId="0" applyFont="1" applyFill="1" applyBorder="1" applyAlignment="1">
      <alignment horizontal="left"/>
    </xf>
    <xf numFmtId="3" fontId="73" fillId="5" borderId="0" xfId="0" applyNumberFormat="1" applyFont="1" applyFill="1" applyAlignment="1">
      <alignment horizontal="center" vertical="center"/>
    </xf>
    <xf numFmtId="164" fontId="73" fillId="5" borderId="0" xfId="0" applyNumberFormat="1" applyFont="1" applyFill="1" applyAlignment="1">
      <alignment horizontal="right" vertical="center"/>
    </xf>
    <xf numFmtId="3" fontId="73" fillId="5" borderId="5" xfId="0" applyNumberFormat="1" applyFont="1" applyFill="1" applyBorder="1" applyAlignment="1">
      <alignment horizontal="right"/>
    </xf>
    <xf numFmtId="0" fontId="75" fillId="5" borderId="0" xfId="0" applyFont="1" applyFill="1"/>
    <xf numFmtId="0" fontId="55" fillId="0" borderId="54" xfId="0" applyFont="1" applyBorder="1" applyAlignment="1">
      <alignment vertical="center"/>
    </xf>
    <xf numFmtId="166" fontId="55" fillId="0" borderId="7" xfId="1" applyNumberFormat="1" applyFont="1" applyBorder="1" applyAlignment="1">
      <alignment horizontal="center" vertical="center"/>
    </xf>
    <xf numFmtId="3" fontId="3" fillId="0" borderId="0" xfId="0" applyNumberFormat="1" applyFont="1" applyBorder="1" applyAlignment="1">
      <alignment horizontal="right"/>
    </xf>
    <xf numFmtId="0" fontId="53" fillId="0" borderId="7" xfId="0" applyFont="1" applyBorder="1"/>
    <xf numFmtId="3" fontId="10" fillId="0" borderId="26" xfId="0" applyNumberFormat="1" applyFont="1" applyBorder="1" applyAlignment="1">
      <alignment horizontal="right" vertical="justify"/>
    </xf>
    <xf numFmtId="3" fontId="4" fillId="0" borderId="37" xfId="0" applyNumberFormat="1" applyFont="1" applyBorder="1" applyAlignment="1">
      <alignment horizontal="right" vertical="justify"/>
    </xf>
    <xf numFmtId="166" fontId="60" fillId="0" borderId="7" xfId="1" applyNumberFormat="1" applyFont="1" applyBorder="1" applyAlignment="1">
      <alignment horizontal="center" vertical="center"/>
    </xf>
    <xf numFmtId="3" fontId="4" fillId="3" borderId="7" xfId="0" applyNumberFormat="1" applyFont="1" applyFill="1" applyBorder="1" applyAlignment="1">
      <alignment horizontal="right" vertical="justify"/>
    </xf>
    <xf numFmtId="166" fontId="55" fillId="0" borderId="7" xfId="1" applyNumberFormat="1" applyFont="1" applyFill="1" applyBorder="1" applyAlignment="1">
      <alignment horizontal="center" vertical="center"/>
    </xf>
    <xf numFmtId="0" fontId="55" fillId="0" borderId="58" xfId="0" applyFont="1" applyBorder="1" applyAlignment="1">
      <alignment vertical="center"/>
    </xf>
    <xf numFmtId="0" fontId="55" fillId="0" borderId="57" xfId="0" applyFont="1" applyBorder="1" applyAlignment="1">
      <alignment vertical="center"/>
    </xf>
    <xf numFmtId="166" fontId="14" fillId="0" borderId="54" xfId="1" applyNumberFormat="1" applyFont="1" applyBorder="1" applyAlignment="1">
      <alignment horizontal="right" vertical="center"/>
    </xf>
    <xf numFmtId="166" fontId="56" fillId="0" borderId="61" xfId="1" applyNumberFormat="1" applyFont="1" applyFill="1" applyBorder="1" applyAlignment="1">
      <alignment horizontal="center" vertical="center"/>
    </xf>
    <xf numFmtId="166" fontId="55" fillId="0" borderId="61" xfId="1" applyNumberFormat="1" applyFont="1" applyBorder="1" applyAlignment="1">
      <alignment horizontal="center" vertical="center"/>
    </xf>
    <xf numFmtId="166" fontId="55" fillId="5" borderId="61" xfId="1" applyNumberFormat="1" applyFont="1" applyFill="1" applyBorder="1" applyAlignment="1">
      <alignment horizontal="center" vertical="center"/>
    </xf>
    <xf numFmtId="3" fontId="5" fillId="8" borderId="61" xfId="0" applyNumberFormat="1" applyFont="1" applyFill="1" applyBorder="1" applyAlignment="1">
      <alignment vertical="center"/>
    </xf>
    <xf numFmtId="3" fontId="10" fillId="0" borderId="65" xfId="0" applyNumberFormat="1" applyFont="1" applyBorder="1" applyAlignment="1">
      <alignment horizontal="right" vertical="justify"/>
    </xf>
    <xf numFmtId="3" fontId="4" fillId="3" borderId="61" xfId="0" applyNumberFormat="1" applyFont="1" applyFill="1" applyBorder="1" applyAlignment="1">
      <alignment horizontal="right" vertical="justify"/>
    </xf>
    <xf numFmtId="3" fontId="4" fillId="5" borderId="61" xfId="0" applyNumberFormat="1" applyFont="1" applyFill="1" applyBorder="1" applyAlignment="1">
      <alignment horizontal="right" vertical="justify"/>
    </xf>
    <xf numFmtId="3" fontId="4" fillId="11" borderId="61" xfId="0" applyNumberFormat="1" applyFont="1" applyFill="1" applyBorder="1" applyAlignment="1">
      <alignment vertical="center"/>
    </xf>
    <xf numFmtId="166" fontId="56" fillId="5" borderId="61" xfId="1" applyNumberFormat="1" applyFont="1" applyFill="1" applyBorder="1" applyAlignment="1">
      <alignment horizontal="center" vertical="center"/>
    </xf>
    <xf numFmtId="166" fontId="55" fillId="0" borderId="63" xfId="0" applyNumberFormat="1" applyFont="1" applyBorder="1" applyAlignment="1">
      <alignment vertical="center"/>
    </xf>
    <xf numFmtId="166" fontId="55" fillId="5" borderId="66" xfId="0" applyNumberFormat="1" applyFont="1" applyFill="1" applyBorder="1" applyAlignment="1">
      <alignment vertical="center"/>
    </xf>
    <xf numFmtId="166" fontId="3" fillId="0" borderId="63" xfId="0" applyNumberFormat="1" applyFont="1" applyBorder="1"/>
    <xf numFmtId="166" fontId="55" fillId="0" borderId="62" xfId="0" applyNumberFormat="1" applyFont="1" applyBorder="1" applyAlignment="1">
      <alignment vertical="center"/>
    </xf>
    <xf numFmtId="166" fontId="35" fillId="0" borderId="62" xfId="0" applyNumberFormat="1" applyFont="1" applyBorder="1"/>
    <xf numFmtId="166" fontId="53" fillId="0" borderId="62" xfId="0" applyNumberFormat="1" applyFont="1" applyBorder="1"/>
    <xf numFmtId="166" fontId="3" fillId="0" borderId="64" xfId="0" applyNumberFormat="1" applyFont="1" applyBorder="1"/>
    <xf numFmtId="166" fontId="55" fillId="0" borderId="64" xfId="0" applyNumberFormat="1" applyFont="1" applyBorder="1" applyAlignment="1">
      <alignment vertical="center"/>
    </xf>
    <xf numFmtId="166" fontId="3" fillId="3" borderId="63" xfId="0" applyNumberFormat="1" applyFont="1" applyFill="1" applyBorder="1"/>
    <xf numFmtId="166" fontId="55" fillId="3" borderId="66" xfId="0" applyNumberFormat="1" applyFont="1" applyFill="1" applyBorder="1" applyAlignment="1">
      <alignment vertical="center"/>
    </xf>
    <xf numFmtId="166" fontId="55" fillId="19" borderId="62" xfId="0" applyNumberFormat="1" applyFont="1" applyFill="1" applyBorder="1" applyAlignment="1">
      <alignment vertical="center"/>
    </xf>
    <xf numFmtId="166" fontId="55" fillId="0" borderId="57" xfId="0" applyNumberFormat="1" applyFont="1" applyBorder="1" applyAlignment="1">
      <alignment vertical="center"/>
    </xf>
    <xf numFmtId="4" fontId="5" fillId="0" borderId="37" xfId="0" applyNumberFormat="1" applyFont="1" applyBorder="1" applyAlignment="1">
      <alignment horizontal="center" vertical="center"/>
    </xf>
    <xf numFmtId="0" fontId="5" fillId="0" borderId="60" xfId="0" applyFont="1" applyBorder="1" applyAlignment="1">
      <alignment horizontal="center" vertical="center"/>
    </xf>
    <xf numFmtId="1" fontId="55" fillId="0" borderId="0" xfId="0" applyNumberFormat="1" applyFont="1" applyAlignment="1">
      <alignment vertical="center"/>
    </xf>
    <xf numFmtId="3" fontId="4" fillId="0" borderId="59" xfId="0" applyNumberFormat="1" applyFont="1" applyBorder="1" applyAlignment="1">
      <alignment horizontal="right" vertical="justify"/>
    </xf>
    <xf numFmtId="166" fontId="4" fillId="0" borderId="56" xfId="0" applyNumberFormat="1" applyFont="1" applyBorder="1" applyAlignment="1">
      <alignment vertical="center"/>
    </xf>
    <xf numFmtId="0" fontId="53" fillId="0" borderId="61" xfId="0" applyFont="1" applyBorder="1"/>
    <xf numFmtId="166" fontId="53" fillId="0" borderId="67" xfId="0" applyNumberFormat="1" applyFont="1" applyBorder="1"/>
    <xf numFmtId="0" fontId="5" fillId="0" borderId="61" xfId="0" applyFont="1" applyBorder="1" applyAlignment="1">
      <alignment horizontal="left" vertical="justify"/>
    </xf>
    <xf numFmtId="166" fontId="4" fillId="10" borderId="63" xfId="0" applyNumberFormat="1" applyFont="1" applyFill="1" applyBorder="1" applyAlignment="1">
      <alignment vertical="center"/>
    </xf>
    <xf numFmtId="166" fontId="4" fillId="0" borderId="61" xfId="1" applyNumberFormat="1" applyFont="1" applyBorder="1" applyAlignment="1">
      <alignment vertical="center" wrapText="1"/>
    </xf>
    <xf numFmtId="166" fontId="3" fillId="0" borderId="62" xfId="0" applyNumberFormat="1" applyFont="1" applyBorder="1" applyAlignment="1">
      <alignment vertical="center"/>
    </xf>
    <xf numFmtId="166" fontId="7" fillId="8" borderId="63" xfId="0" applyNumberFormat="1" applyFont="1" applyFill="1" applyBorder="1" applyAlignment="1">
      <alignment vertical="center"/>
    </xf>
    <xf numFmtId="166" fontId="3" fillId="0" borderId="0" xfId="0" applyNumberFormat="1" applyFont="1" applyAlignment="1">
      <alignment vertical="center"/>
    </xf>
    <xf numFmtId="43" fontId="3" fillId="0" borderId="0" xfId="0" applyNumberFormat="1" applyFont="1" applyAlignment="1">
      <alignment vertical="center"/>
    </xf>
    <xf numFmtId="166" fontId="7" fillId="10" borderId="63" xfId="0" applyNumberFormat="1" applyFont="1" applyFill="1" applyBorder="1" applyAlignment="1">
      <alignment vertical="center"/>
    </xf>
    <xf numFmtId="166" fontId="3" fillId="0" borderId="0" xfId="1" applyNumberFormat="1" applyFont="1" applyAlignment="1">
      <alignment vertical="center"/>
    </xf>
    <xf numFmtId="166" fontId="56" fillId="0" borderId="69" xfId="1" applyNumberFormat="1" applyFont="1" applyFill="1" applyBorder="1" applyAlignment="1">
      <alignment horizontal="center" vertical="center"/>
    </xf>
    <xf numFmtId="43" fontId="55" fillId="0" borderId="62" xfId="0" applyNumberFormat="1" applyFont="1" applyBorder="1" applyAlignment="1">
      <alignment vertical="center"/>
    </xf>
    <xf numFmtId="0" fontId="14" fillId="0" borderId="6" xfId="0" applyFont="1" applyBorder="1" applyAlignment="1">
      <alignment vertical="center" wrapText="1"/>
    </xf>
    <xf numFmtId="0" fontId="12" fillId="0" borderId="6" xfId="0" applyFont="1" applyBorder="1" applyAlignment="1">
      <alignment vertical="center" wrapText="1"/>
    </xf>
    <xf numFmtId="0" fontId="14" fillId="5" borderId="6" xfId="0" applyFont="1" applyFill="1" applyBorder="1" applyAlignment="1">
      <alignment vertical="center" wrapText="1"/>
    </xf>
    <xf numFmtId="166" fontId="14" fillId="0" borderId="6" xfId="1" applyNumberFormat="1" applyFont="1" applyBorder="1" applyAlignment="1">
      <alignment vertical="center" wrapText="1"/>
    </xf>
    <xf numFmtId="166" fontId="12" fillId="0" borderId="61" xfId="1" applyNumberFormat="1" applyFont="1" applyBorder="1" applyAlignment="1">
      <alignment vertical="center" wrapText="1"/>
    </xf>
    <xf numFmtId="166" fontId="14" fillId="0" borderId="61" xfId="1" applyNumberFormat="1" applyFont="1" applyBorder="1" applyAlignment="1">
      <alignment vertical="center" wrapText="1"/>
    </xf>
    <xf numFmtId="43" fontId="55" fillId="0" borderId="63" xfId="0" applyNumberFormat="1" applyFont="1" applyBorder="1" applyAlignment="1">
      <alignment vertical="center"/>
    </xf>
    <xf numFmtId="170" fontId="14" fillId="5" borderId="6" xfId="0" applyNumberFormat="1" applyFont="1" applyFill="1" applyBorder="1" applyAlignment="1">
      <alignment vertical="center" wrapText="1"/>
    </xf>
    <xf numFmtId="43" fontId="14" fillId="5" borderId="6" xfId="1" applyFont="1" applyFill="1" applyBorder="1" applyAlignment="1">
      <alignment vertical="center" wrapText="1"/>
    </xf>
    <xf numFmtId="166" fontId="56" fillId="16" borderId="61" xfId="1" applyNumberFormat="1" applyFont="1" applyFill="1" applyBorder="1" applyAlignment="1">
      <alignment horizontal="center" vertical="center"/>
    </xf>
    <xf numFmtId="166" fontId="55" fillId="21" borderId="63" xfId="0" applyNumberFormat="1" applyFont="1" applyFill="1" applyBorder="1" applyAlignment="1">
      <alignment vertical="center"/>
    </xf>
    <xf numFmtId="166" fontId="55" fillId="5" borderId="61" xfId="1" applyNumberFormat="1" applyFont="1" applyFill="1" applyBorder="1" applyAlignment="1">
      <alignment vertical="center" wrapText="1"/>
    </xf>
    <xf numFmtId="0" fontId="85" fillId="0" borderId="0" xfId="0" applyFont="1"/>
    <xf numFmtId="0" fontId="11" fillId="0" borderId="0" xfId="0" applyFont="1"/>
    <xf numFmtId="0" fontId="84" fillId="12" borderId="6" xfId="0" applyFont="1" applyFill="1" applyBorder="1" applyAlignment="1">
      <alignment horizontal="center" vertical="center"/>
    </xf>
    <xf numFmtId="167" fontId="84" fillId="12" borderId="6" xfId="1" applyNumberFormat="1" applyFont="1" applyFill="1" applyBorder="1" applyAlignment="1">
      <alignment horizontal="center" vertical="center"/>
    </xf>
    <xf numFmtId="3" fontId="84" fillId="12" borderId="61" xfId="0" applyNumberFormat="1" applyFont="1" applyFill="1" applyBorder="1" applyAlignment="1">
      <alignment horizontal="right" vertical="center"/>
    </xf>
    <xf numFmtId="0" fontId="83" fillId="0" borderId="6" xfId="0" applyFont="1" applyBorder="1" applyAlignment="1">
      <alignment vertical="justify" wrapText="1"/>
    </xf>
    <xf numFmtId="166" fontId="55" fillId="0" borderId="62" xfId="0" applyNumberFormat="1" applyFont="1" applyBorder="1"/>
    <xf numFmtId="43" fontId="55" fillId="0" borderId="62" xfId="0" applyNumberFormat="1" applyFont="1" applyBorder="1"/>
    <xf numFmtId="166" fontId="80" fillId="0" borderId="62" xfId="0" applyNumberFormat="1" applyFont="1" applyBorder="1"/>
    <xf numFmtId="0" fontId="4" fillId="0" borderId="0" xfId="0" applyFont="1" applyBorder="1" applyAlignment="1">
      <alignment vertical="justify" wrapText="1"/>
    </xf>
    <xf numFmtId="0" fontId="4" fillId="12" borderId="30" xfId="0" applyFont="1" applyFill="1" applyBorder="1" applyAlignment="1">
      <alignment horizontal="right" vertical="center"/>
    </xf>
    <xf numFmtId="0" fontId="5" fillId="12" borderId="30" xfId="0" applyFont="1" applyFill="1" applyBorder="1" applyAlignment="1">
      <alignment vertical="center"/>
    </xf>
    <xf numFmtId="0" fontId="4" fillId="12" borderId="30" xfId="0" applyFont="1" applyFill="1" applyBorder="1" applyAlignment="1">
      <alignment horizontal="center" vertical="center"/>
    </xf>
    <xf numFmtId="0" fontId="5" fillId="12" borderId="30" xfId="0" applyFont="1" applyFill="1" applyBorder="1" applyAlignment="1">
      <alignment horizontal="center" vertical="center"/>
    </xf>
    <xf numFmtId="167" fontId="5" fillId="12" borderId="30" xfId="1" applyNumberFormat="1" applyFont="1" applyFill="1" applyBorder="1" applyAlignment="1">
      <alignment horizontal="center" vertical="center"/>
    </xf>
    <xf numFmtId="3" fontId="5" fillId="12" borderId="68" xfId="0" applyNumberFormat="1" applyFont="1" applyFill="1" applyBorder="1" applyAlignment="1">
      <alignment horizontal="right" vertical="center"/>
    </xf>
    <xf numFmtId="166" fontId="56" fillId="20" borderId="63" xfId="0" applyNumberFormat="1" applyFont="1" applyFill="1" applyBorder="1" applyAlignment="1">
      <alignment vertical="center"/>
    </xf>
    <xf numFmtId="0" fontId="4" fillId="5" borderId="6" xfId="0" applyFont="1" applyFill="1" applyBorder="1" applyAlignment="1">
      <alignment horizontal="right" vertical="center"/>
    </xf>
    <xf numFmtId="0" fontId="5" fillId="5" borderId="6" xfId="0" applyFont="1" applyFill="1" applyBorder="1" applyAlignment="1">
      <alignment vertical="center"/>
    </xf>
    <xf numFmtId="0" fontId="5" fillId="5" borderId="6" xfId="0" applyFont="1" applyFill="1" applyBorder="1" applyAlignment="1">
      <alignment horizontal="center" vertical="center"/>
    </xf>
    <xf numFmtId="167" fontId="5" fillId="5" borderId="6" xfId="1" applyNumberFormat="1" applyFont="1" applyFill="1" applyBorder="1" applyAlignment="1">
      <alignment horizontal="center" vertical="center"/>
    </xf>
    <xf numFmtId="3" fontId="5" fillId="5" borderId="6" xfId="0" applyNumberFormat="1" applyFont="1" applyFill="1" applyBorder="1" applyAlignment="1">
      <alignment horizontal="right" vertical="center"/>
    </xf>
    <xf numFmtId="166" fontId="56" fillId="5" borderId="6" xfId="0" applyNumberFormat="1" applyFont="1" applyFill="1" applyBorder="1" applyAlignment="1">
      <alignment vertical="center"/>
    </xf>
    <xf numFmtId="0" fontId="56" fillId="0" borderId="28" xfId="0" applyFont="1" applyBorder="1" applyAlignment="1">
      <alignment horizontal="center" vertical="center"/>
    </xf>
    <xf numFmtId="0" fontId="56" fillId="0" borderId="29" xfId="0" applyFont="1" applyBorder="1" applyAlignment="1">
      <alignment vertical="center" wrapText="1"/>
    </xf>
    <xf numFmtId="0" fontId="55" fillId="0" borderId="29" xfId="0" applyFont="1" applyBorder="1" applyAlignment="1">
      <alignment horizontal="center" vertical="center"/>
    </xf>
    <xf numFmtId="43" fontId="55" fillId="0" borderId="29" xfId="1" applyFont="1" applyFill="1" applyBorder="1" applyAlignment="1">
      <alignment horizontal="center" vertical="center"/>
    </xf>
    <xf numFmtId="166" fontId="55" fillId="0" borderId="29" xfId="1" applyNumberFormat="1" applyFont="1" applyFill="1" applyBorder="1" applyAlignment="1">
      <alignment horizontal="center" vertical="center"/>
    </xf>
    <xf numFmtId="0" fontId="55" fillId="5" borderId="6" xfId="0" applyFont="1" applyFill="1" applyBorder="1" applyAlignment="1">
      <alignment horizontal="center" vertical="center" wrapText="1"/>
    </xf>
    <xf numFmtId="166" fontId="7" fillId="0" borderId="62" xfId="0" applyNumberFormat="1" applyFont="1" applyBorder="1"/>
    <xf numFmtId="166" fontId="7" fillId="20" borderId="62" xfId="0" applyNumberFormat="1" applyFont="1" applyFill="1" applyBorder="1"/>
    <xf numFmtId="4" fontId="5" fillId="0" borderId="18" xfId="0" applyNumberFormat="1" applyFont="1" applyBorder="1" applyAlignment="1">
      <alignment horizontal="center" vertical="center"/>
    </xf>
    <xf numFmtId="0" fontId="3" fillId="0" borderId="70" xfId="0" applyFont="1" applyBorder="1"/>
    <xf numFmtId="0" fontId="5" fillId="10" borderId="20" xfId="0" applyFont="1" applyFill="1" applyBorder="1" applyAlignment="1">
      <alignment horizontal="right" vertical="center"/>
    </xf>
    <xf numFmtId="3" fontId="5" fillId="10" borderId="61" xfId="0" applyNumberFormat="1" applyFont="1" applyFill="1" applyBorder="1" applyAlignment="1">
      <alignment vertical="center"/>
    </xf>
    <xf numFmtId="166" fontId="41" fillId="10" borderId="66" xfId="0" applyNumberFormat="1" applyFont="1" applyFill="1" applyBorder="1" applyAlignment="1">
      <alignment vertical="center"/>
    </xf>
    <xf numFmtId="166" fontId="7" fillId="10" borderId="66" xfId="0" applyNumberFormat="1" applyFont="1" applyFill="1" applyBorder="1" applyAlignment="1">
      <alignment vertical="center"/>
    </xf>
    <xf numFmtId="166" fontId="56" fillId="10" borderId="63" xfId="0" applyNumberFormat="1" applyFont="1" applyFill="1" applyBorder="1" applyAlignment="1">
      <alignment horizontal="center" vertical="center"/>
    </xf>
    <xf numFmtId="3" fontId="7" fillId="10" borderId="55" xfId="0" applyNumberFormat="1" applyFont="1" applyFill="1" applyBorder="1" applyAlignment="1">
      <alignment horizontal="center" vertical="center"/>
    </xf>
    <xf numFmtId="166" fontId="85" fillId="0" borderId="0" xfId="0" applyNumberFormat="1" applyFont="1"/>
    <xf numFmtId="166" fontId="87" fillId="7" borderId="63" xfId="1" applyNumberFormat="1" applyFont="1" applyFill="1" applyBorder="1"/>
    <xf numFmtId="166" fontId="87" fillId="14" borderId="63" xfId="1" applyNumberFormat="1" applyFont="1" applyFill="1" applyBorder="1"/>
    <xf numFmtId="166" fontId="87" fillId="4" borderId="56" xfId="1" applyNumberFormat="1" applyFont="1" applyFill="1" applyBorder="1"/>
    <xf numFmtId="166" fontId="87" fillId="14" borderId="61" xfId="0" applyNumberFormat="1" applyFont="1" applyFill="1" applyBorder="1"/>
    <xf numFmtId="166" fontId="87" fillId="4" borderId="61" xfId="0" applyNumberFormat="1" applyFont="1" applyFill="1" applyBorder="1"/>
    <xf numFmtId="0" fontId="14" fillId="0" borderId="6" xfId="0" applyFont="1" applyBorder="1" applyAlignment="1">
      <alignment horizontal="center" vertical="center" wrapText="1"/>
    </xf>
    <xf numFmtId="43" fontId="87" fillId="0" borderId="0" xfId="0" applyNumberFormat="1" applyFont="1"/>
    <xf numFmtId="0" fontId="74" fillId="15" borderId="6" xfId="0" applyFont="1" applyFill="1" applyBorder="1" applyAlignment="1">
      <alignment horizontal="left"/>
    </xf>
    <xf numFmtId="0" fontId="74" fillId="15" borderId="7" xfId="0" applyFont="1" applyFill="1" applyBorder="1" applyAlignment="1">
      <alignment horizontal="left"/>
    </xf>
    <xf numFmtId="0" fontId="74" fillId="15" borderId="8" xfId="0" applyFont="1" applyFill="1" applyBorder="1" applyAlignment="1">
      <alignment horizontal="left"/>
    </xf>
    <xf numFmtId="0" fontId="5" fillId="10" borderId="7" xfId="0" applyFont="1" applyFill="1" applyBorder="1" applyAlignment="1">
      <alignment horizontal="left" vertical="justify"/>
    </xf>
    <xf numFmtId="0" fontId="5" fillId="10" borderId="26" xfId="0" applyFont="1" applyFill="1" applyBorder="1" applyAlignment="1">
      <alignment horizontal="left" vertical="justify"/>
    </xf>
    <xf numFmtId="0" fontId="5" fillId="10" borderId="27" xfId="0" applyFont="1" applyFill="1" applyBorder="1" applyAlignment="1">
      <alignment horizontal="left" vertical="justify"/>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3" borderId="7" xfId="0" applyFont="1" applyFill="1" applyBorder="1" applyAlignment="1">
      <alignment horizontal="left" vertical="justify"/>
    </xf>
    <xf numFmtId="0" fontId="5" fillId="3" borderId="26" xfId="0" applyFont="1" applyFill="1" applyBorder="1" applyAlignment="1">
      <alignment horizontal="left" vertical="justify"/>
    </xf>
    <xf numFmtId="0" fontId="5" fillId="3" borderId="27" xfId="0" applyFont="1" applyFill="1" applyBorder="1" applyAlignment="1">
      <alignment horizontal="left" vertical="justify"/>
    </xf>
    <xf numFmtId="4" fontId="5" fillId="0" borderId="11" xfId="0" applyNumberFormat="1" applyFont="1" applyBorder="1" applyAlignment="1">
      <alignment horizontal="center" vertical="center"/>
    </xf>
    <xf numFmtId="4" fontId="5" fillId="0" borderId="15"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4" fontId="5" fillId="0" borderId="10" xfId="0" applyNumberFormat="1" applyFont="1" applyBorder="1" applyAlignment="1">
      <alignment horizontal="center" vertical="center"/>
    </xf>
    <xf numFmtId="4" fontId="5" fillId="0" borderId="14" xfId="0" applyNumberFormat="1"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7" fillId="10" borderId="26" xfId="0" applyFont="1" applyFill="1" applyBorder="1" applyAlignment="1">
      <alignment horizontal="center" vertical="center" wrapText="1"/>
    </xf>
    <xf numFmtId="0" fontId="7" fillId="10" borderId="65" xfId="0" applyFont="1" applyFill="1" applyBorder="1" applyAlignment="1">
      <alignment horizontal="center" vertical="center" wrapText="1"/>
    </xf>
    <xf numFmtId="0" fontId="5" fillId="12" borderId="7" xfId="0" applyFont="1" applyFill="1" applyBorder="1" applyAlignment="1">
      <alignment horizontal="center" vertical="center"/>
    </xf>
    <xf numFmtId="0" fontId="5" fillId="12" borderId="26" xfId="0" applyFont="1" applyFill="1" applyBorder="1" applyAlignment="1">
      <alignment horizontal="center" vertical="center"/>
    </xf>
    <xf numFmtId="0" fontId="5" fillId="12" borderId="8" xfId="0" applyFont="1" applyFill="1" applyBorder="1" applyAlignment="1">
      <alignment horizontal="center" vertical="center"/>
    </xf>
    <xf numFmtId="0" fontId="29" fillId="10" borderId="7" xfId="0" applyFont="1" applyFill="1" applyBorder="1" applyAlignment="1">
      <alignment horizontal="center" vertical="justify"/>
    </xf>
    <xf numFmtId="0" fontId="29" fillId="10" borderId="26" xfId="0" applyFont="1" applyFill="1" applyBorder="1" applyAlignment="1">
      <alignment horizontal="center" vertical="justify"/>
    </xf>
    <xf numFmtId="0" fontId="29" fillId="10" borderId="8" xfId="0" applyFont="1" applyFill="1" applyBorder="1" applyAlignment="1">
      <alignment horizontal="center" vertical="justify"/>
    </xf>
    <xf numFmtId="0" fontId="7" fillId="10" borderId="6" xfId="0" applyFont="1" applyFill="1" applyBorder="1" applyAlignment="1">
      <alignment horizontal="center"/>
    </xf>
    <xf numFmtId="0" fontId="7" fillId="10" borderId="7" xfId="0" applyFont="1" applyFill="1" applyBorder="1" applyAlignment="1">
      <alignment horizontal="center" vertical="center" wrapText="1"/>
    </xf>
    <xf numFmtId="0" fontId="5" fillId="10" borderId="26" xfId="0" applyFont="1" applyFill="1" applyBorder="1" applyAlignment="1">
      <alignment horizontal="center" vertical="center" wrapText="1"/>
    </xf>
    <xf numFmtId="0" fontId="5" fillId="10" borderId="65" xfId="0" applyFont="1" applyFill="1" applyBorder="1" applyAlignment="1">
      <alignment horizontal="center" vertical="center" wrapText="1"/>
    </xf>
    <xf numFmtId="0" fontId="5" fillId="10" borderId="6" xfId="0" applyFont="1" applyFill="1" applyBorder="1" applyAlignment="1">
      <alignment horizontal="center" vertical="justify"/>
    </xf>
    <xf numFmtId="0" fontId="5" fillId="11" borderId="7" xfId="0" applyFont="1" applyFill="1" applyBorder="1" applyAlignment="1">
      <alignment horizontal="center" vertical="center"/>
    </xf>
    <xf numFmtId="0" fontId="5" fillId="11" borderId="26" xfId="0" applyFont="1" applyFill="1" applyBorder="1" applyAlignment="1">
      <alignment horizontal="center" vertical="center"/>
    </xf>
    <xf numFmtId="0" fontId="5" fillId="11" borderId="8" xfId="0" applyFont="1" applyFill="1" applyBorder="1" applyAlignment="1">
      <alignment horizontal="center" vertical="center"/>
    </xf>
    <xf numFmtId="4" fontId="5" fillId="0" borderId="6" xfId="0" applyNumberFormat="1" applyFont="1" applyBorder="1" applyAlignment="1">
      <alignment horizontal="center" vertical="center"/>
    </xf>
    <xf numFmtId="0" fontId="5" fillId="10" borderId="65" xfId="0" applyFont="1" applyFill="1" applyBorder="1" applyAlignment="1">
      <alignment horizontal="left" vertical="justify"/>
    </xf>
    <xf numFmtId="0" fontId="5" fillId="10" borderId="7" xfId="0" applyFont="1" applyFill="1" applyBorder="1" applyAlignment="1">
      <alignment horizontal="center" vertical="center" wrapText="1"/>
    </xf>
    <xf numFmtId="0" fontId="5" fillId="10" borderId="7" xfId="0" applyFont="1" applyFill="1" applyBorder="1" applyAlignment="1">
      <alignment horizontal="center" vertical="center"/>
    </xf>
    <xf numFmtId="0" fontId="5" fillId="10" borderId="26" xfId="0" applyFont="1" applyFill="1" applyBorder="1" applyAlignment="1">
      <alignment horizontal="center" vertical="center"/>
    </xf>
    <xf numFmtId="0" fontId="5" fillId="10" borderId="8" xfId="0" applyFont="1" applyFill="1" applyBorder="1" applyAlignment="1">
      <alignment horizontal="center" vertical="center"/>
    </xf>
    <xf numFmtId="0" fontId="5" fillId="10" borderId="71" xfId="0" applyFont="1" applyFill="1" applyBorder="1" applyAlignment="1">
      <alignment horizontal="center" vertical="justify"/>
    </xf>
    <xf numFmtId="0" fontId="5" fillId="10" borderId="72" xfId="0" applyFont="1" applyFill="1" applyBorder="1" applyAlignment="1">
      <alignment horizontal="center" vertical="justify"/>
    </xf>
    <xf numFmtId="0" fontId="5" fillId="10" borderId="73" xfId="0" applyFont="1" applyFill="1" applyBorder="1" applyAlignment="1">
      <alignment horizontal="center" vertical="justify"/>
    </xf>
    <xf numFmtId="3" fontId="88" fillId="0" borderId="0" xfId="0" applyNumberFormat="1" applyFont="1" applyAlignment="1">
      <alignment horizontal="center" vertical="center" wrapText="1"/>
    </xf>
    <xf numFmtId="3" fontId="88" fillId="0" borderId="57" xfId="0" applyNumberFormat="1" applyFont="1" applyBorder="1" applyAlignment="1">
      <alignment horizontal="center" vertical="center" wrapText="1"/>
    </xf>
    <xf numFmtId="0" fontId="7" fillId="0" borderId="6" xfId="0" applyFont="1" applyBorder="1" applyAlignment="1">
      <alignment horizontal="center" vertical="center"/>
    </xf>
    <xf numFmtId="0" fontId="5" fillId="0" borderId="6" xfId="0" applyFont="1" applyBorder="1" applyAlignment="1">
      <alignment horizontal="center" vertical="center"/>
    </xf>
    <xf numFmtId="0" fontId="74" fillId="15" borderId="7" xfId="0" applyFont="1" applyFill="1" applyBorder="1" applyAlignment="1">
      <alignment horizontal="center" wrapText="1"/>
    </xf>
    <xf numFmtId="0" fontId="74" fillId="15" borderId="8" xfId="0" applyFont="1" applyFill="1" applyBorder="1" applyAlignment="1">
      <alignment horizontal="center" wrapText="1"/>
    </xf>
    <xf numFmtId="0" fontId="74" fillId="15" borderId="7" xfId="0" applyFont="1" applyFill="1" applyBorder="1" applyAlignment="1">
      <alignment horizontal="center"/>
    </xf>
    <xf numFmtId="0" fontId="74" fillId="15" borderId="8" xfId="0" applyFont="1" applyFill="1" applyBorder="1" applyAlignment="1">
      <alignment horizontal="center"/>
    </xf>
    <xf numFmtId="0" fontId="38" fillId="17" borderId="6" xfId="0" applyFont="1" applyFill="1" applyBorder="1" applyAlignment="1">
      <alignment horizontal="center" vertical="justify" wrapText="1"/>
    </xf>
    <xf numFmtId="0" fontId="16" fillId="3" borderId="51" xfId="0" applyFont="1" applyFill="1" applyBorder="1" applyAlignment="1">
      <alignment horizontal="left" vertical="justify"/>
    </xf>
    <xf numFmtId="0" fontId="16" fillId="3" borderId="52" xfId="0" applyFont="1" applyFill="1" applyBorder="1" applyAlignment="1">
      <alignment horizontal="left" vertical="justify"/>
    </xf>
    <xf numFmtId="0" fontId="16" fillId="2" borderId="7" xfId="0" applyFont="1" applyFill="1" applyBorder="1" applyAlignment="1">
      <alignment horizontal="left" vertical="justify"/>
    </xf>
    <xf numFmtId="0" fontId="16" fillId="2" borderId="26" xfId="0" applyFont="1" applyFill="1" applyBorder="1" applyAlignment="1">
      <alignment horizontal="left" vertical="justify"/>
    </xf>
    <xf numFmtId="0" fontId="16" fillId="2" borderId="27" xfId="0" applyFont="1" applyFill="1" applyBorder="1" applyAlignment="1">
      <alignment horizontal="left" vertical="justify"/>
    </xf>
    <xf numFmtId="0" fontId="16" fillId="5" borderId="6" xfId="0" applyFont="1" applyFill="1" applyBorder="1" applyAlignment="1">
      <alignment horizontal="left" vertical="justify"/>
    </xf>
    <xf numFmtId="0" fontId="16" fillId="5" borderId="21" xfId="0" applyFont="1" applyFill="1" applyBorder="1" applyAlignment="1">
      <alignment horizontal="left" vertical="justify"/>
    </xf>
    <xf numFmtId="0" fontId="16" fillId="3" borderId="7" xfId="0" applyFont="1" applyFill="1" applyBorder="1" applyAlignment="1">
      <alignment horizontal="left" vertical="top"/>
    </xf>
    <xf numFmtId="0" fontId="16" fillId="3" borderId="26" xfId="0" applyFont="1" applyFill="1" applyBorder="1" applyAlignment="1">
      <alignment horizontal="left" vertical="top"/>
    </xf>
    <xf numFmtId="0" fontId="16" fillId="3" borderId="27" xfId="0" applyFont="1" applyFill="1" applyBorder="1" applyAlignment="1">
      <alignment horizontal="left" vertical="top"/>
    </xf>
    <xf numFmtId="0" fontId="45" fillId="13" borderId="51" xfId="0" applyFont="1" applyFill="1" applyBorder="1" applyAlignment="1">
      <alignment horizontal="center"/>
    </xf>
    <xf numFmtId="0" fontId="45" fillId="13" borderId="52" xfId="0" applyFont="1" applyFill="1" applyBorder="1" applyAlignment="1">
      <alignment horizontal="center"/>
    </xf>
  </cellXfs>
  <cellStyles count="10">
    <cellStyle name="Comma" xfId="1" builtinId="3"/>
    <cellStyle name="Comma 2" xfId="2" xr:uid="{00000000-0005-0000-0000-000001000000}"/>
    <cellStyle name="Comma 2 2" xfId="9" xr:uid="{00000000-0005-0000-0000-000002000000}"/>
    <cellStyle name="Comma 3" xfId="4" xr:uid="{00000000-0005-0000-0000-000003000000}"/>
    <cellStyle name="Comma 4" xfId="5" xr:uid="{00000000-0005-0000-0000-000004000000}"/>
    <cellStyle name="Normal" xfId="0" builtinId="0"/>
    <cellStyle name="Normal 2" xfId="6" xr:uid="{00000000-0005-0000-0000-000006000000}"/>
    <cellStyle name="Normal 3" xfId="3" xr:uid="{00000000-0005-0000-0000-000007000000}"/>
    <cellStyle name="Normal 4 4" xfId="7" xr:uid="{00000000-0005-0000-0000-000008000000}"/>
    <cellStyle name="常规 65 2"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Q214"/>
  <sheetViews>
    <sheetView topLeftCell="A49" zoomScale="70" zoomScaleNormal="70" workbookViewId="0">
      <selection activeCell="B76" sqref="B76"/>
    </sheetView>
  </sheetViews>
  <sheetFormatPr defaultColWidth="8.85546875" defaultRowHeight="15.75" x14ac:dyDescent="0.25"/>
  <cols>
    <col min="1" max="1" width="8.28515625" style="1" bestFit="1" customWidth="1"/>
    <col min="2" max="2" width="66.5703125" style="1" customWidth="1"/>
    <col min="3" max="3" width="12.28515625" style="1" bestFit="1" customWidth="1"/>
    <col min="4" max="4" width="10.5703125" style="1" bestFit="1" customWidth="1"/>
    <col min="5" max="5" width="12.42578125" style="2" bestFit="1" customWidth="1"/>
    <col min="6" max="6" width="24.5703125" style="1" bestFit="1" customWidth="1"/>
    <col min="7" max="433" width="9.140625" style="1"/>
    <col min="434" max="16384" width="8.85546875" style="1"/>
  </cols>
  <sheetData>
    <row r="1" spans="1:6" s="572" customFormat="1" ht="14.25" x14ac:dyDescent="0.25">
      <c r="A1" s="568"/>
      <c r="B1" s="569"/>
      <c r="C1" s="568"/>
      <c r="D1" s="570"/>
      <c r="E1" s="571"/>
      <c r="F1" s="571"/>
    </row>
    <row r="2" spans="1:6" s="572" customFormat="1" ht="15" x14ac:dyDescent="0.25">
      <c r="A2" s="573"/>
      <c r="B2" s="574" t="s">
        <v>1044</v>
      </c>
      <c r="C2" s="575"/>
      <c r="D2" s="576"/>
      <c r="E2" s="577"/>
      <c r="F2" s="577"/>
    </row>
    <row r="3" spans="1:6" s="572" customFormat="1" ht="15" thickBot="1" x14ac:dyDescent="0.3">
      <c r="A3" s="573"/>
      <c r="B3" s="578"/>
      <c r="C3" s="575"/>
      <c r="D3" s="576"/>
      <c r="E3" s="577"/>
      <c r="F3" s="577"/>
    </row>
    <row r="4" spans="1:6" s="572" customFormat="1" ht="15" x14ac:dyDescent="0.25">
      <c r="A4" s="579"/>
      <c r="B4" s="580" t="s">
        <v>945</v>
      </c>
      <c r="C4" s="581"/>
      <c r="D4" s="582"/>
      <c r="E4" s="583"/>
      <c r="F4" s="584"/>
    </row>
    <row r="5" spans="1:6" s="572" customFormat="1" ht="14.25" x14ac:dyDescent="0.25">
      <c r="A5" s="573"/>
      <c r="B5" s="578"/>
      <c r="C5" s="575"/>
      <c r="D5" s="576"/>
      <c r="E5" s="577"/>
      <c r="F5" s="585"/>
    </row>
    <row r="6" spans="1:6" s="572" customFormat="1" ht="14.25" x14ac:dyDescent="0.25">
      <c r="A6" s="573">
        <v>1</v>
      </c>
      <c r="B6" s="586" t="s">
        <v>946</v>
      </c>
      <c r="C6" s="575"/>
      <c r="D6" s="576"/>
      <c r="E6" s="577"/>
      <c r="F6" s="585"/>
    </row>
    <row r="7" spans="1:6" s="572" customFormat="1" ht="14.25" x14ac:dyDescent="0.25">
      <c r="A7" s="573"/>
      <c r="B7" s="578"/>
      <c r="C7" s="575"/>
      <c r="D7" s="576"/>
      <c r="E7" s="577"/>
      <c r="F7" s="585"/>
    </row>
    <row r="8" spans="1:6" s="572" customFormat="1" ht="14.25" x14ac:dyDescent="0.25">
      <c r="A8" s="573">
        <v>2</v>
      </c>
      <c r="B8" s="578" t="s">
        <v>947</v>
      </c>
      <c r="C8" s="575"/>
      <c r="D8" s="576"/>
      <c r="E8" s="577"/>
      <c r="F8" s="585"/>
    </row>
    <row r="9" spans="1:6" s="572" customFormat="1" ht="14.25" x14ac:dyDescent="0.25">
      <c r="A9" s="573"/>
      <c r="B9" s="578"/>
      <c r="C9" s="575"/>
      <c r="D9" s="576"/>
      <c r="E9" s="577"/>
      <c r="F9" s="585"/>
    </row>
    <row r="10" spans="1:6" s="572" customFormat="1" ht="14.25" x14ac:dyDescent="0.25">
      <c r="A10" s="573">
        <v>3</v>
      </c>
      <c r="B10" s="578" t="s">
        <v>1</v>
      </c>
      <c r="C10" s="575"/>
      <c r="D10" s="576"/>
      <c r="E10" s="577"/>
      <c r="F10" s="585"/>
    </row>
    <row r="11" spans="1:6" s="572" customFormat="1" ht="14.25" x14ac:dyDescent="0.25">
      <c r="A11" s="573"/>
      <c r="B11" s="578"/>
      <c r="C11" s="575"/>
      <c r="D11" s="576"/>
      <c r="E11" s="577"/>
      <c r="F11" s="585"/>
    </row>
    <row r="12" spans="1:6" s="724" customFormat="1" ht="19.5" x14ac:dyDescent="0.3">
      <c r="A12" s="720"/>
      <c r="B12" s="842" t="s">
        <v>1081</v>
      </c>
      <c r="C12" s="842"/>
      <c r="D12" s="721"/>
      <c r="E12" s="722"/>
      <c r="F12" s="723"/>
    </row>
    <row r="13" spans="1:6" s="731" customFormat="1" ht="19.5" x14ac:dyDescent="0.3">
      <c r="A13" s="725"/>
      <c r="B13" s="726" t="s">
        <v>1085</v>
      </c>
      <c r="C13" s="727"/>
      <c r="D13" s="728"/>
      <c r="E13" s="729"/>
      <c r="F13" s="730"/>
    </row>
    <row r="14" spans="1:6" s="724" customFormat="1" ht="19.5" x14ac:dyDescent="0.3">
      <c r="A14" s="720"/>
      <c r="B14" s="843" t="s">
        <v>2</v>
      </c>
      <c r="C14" s="844"/>
      <c r="D14" s="721"/>
      <c r="E14" s="722"/>
      <c r="F14" s="723"/>
    </row>
    <row r="15" spans="1:6" ht="16.5" thickBot="1" x14ac:dyDescent="0.3">
      <c r="A15" s="3"/>
      <c r="B15" s="8"/>
      <c r="C15" s="5"/>
      <c r="D15" s="6"/>
      <c r="E15" s="7"/>
      <c r="F15" s="4"/>
    </row>
    <row r="16" spans="1:6" x14ac:dyDescent="0.25">
      <c r="A16" s="848" t="s">
        <v>3</v>
      </c>
      <c r="B16" s="855" t="s">
        <v>4</v>
      </c>
      <c r="C16" s="855" t="s">
        <v>5</v>
      </c>
      <c r="D16" s="857" t="s">
        <v>6</v>
      </c>
      <c r="E16" s="853" t="s">
        <v>7</v>
      </c>
      <c r="F16" s="859" t="s">
        <v>8</v>
      </c>
    </row>
    <row r="17" spans="1:6" ht="16.5" thickBot="1" x14ac:dyDescent="0.3">
      <c r="A17" s="849"/>
      <c r="B17" s="856"/>
      <c r="C17" s="856"/>
      <c r="D17" s="858"/>
      <c r="E17" s="854"/>
      <c r="F17" s="860"/>
    </row>
    <row r="18" spans="1:6" x14ac:dyDescent="0.25">
      <c r="A18" s="10"/>
      <c r="B18" s="11"/>
      <c r="C18" s="11"/>
      <c r="D18" s="12"/>
      <c r="E18" s="13"/>
      <c r="F18" s="14"/>
    </row>
    <row r="19" spans="1:6" s="572" customFormat="1" ht="15" x14ac:dyDescent="0.25">
      <c r="A19" s="587">
        <v>1</v>
      </c>
      <c r="B19" s="588" t="s">
        <v>946</v>
      </c>
      <c r="C19" s="589"/>
      <c r="D19" s="590"/>
      <c r="E19" s="591"/>
      <c r="F19" s="592"/>
    </row>
    <row r="20" spans="1:6" s="572" customFormat="1" ht="128.25" x14ac:dyDescent="0.25">
      <c r="A20" s="593">
        <v>1.1000000000000001</v>
      </c>
      <c r="B20" s="594" t="s">
        <v>948</v>
      </c>
      <c r="C20" s="589" t="s">
        <v>190</v>
      </c>
      <c r="D20" s="595">
        <v>1</v>
      </c>
      <c r="E20" s="596">
        <f>F21*1.5</f>
        <v>405820.64070000005</v>
      </c>
      <c r="F20" s="597">
        <f>D20*E20</f>
        <v>405820.64070000005</v>
      </c>
    </row>
    <row r="21" spans="1:6" s="572" customFormat="1" ht="42.75" x14ac:dyDescent="0.25">
      <c r="A21" s="593">
        <v>1.2</v>
      </c>
      <c r="B21" s="594" t="s">
        <v>949</v>
      </c>
      <c r="C21" s="589" t="s">
        <v>9</v>
      </c>
      <c r="D21" s="598">
        <f>D37/1000</f>
        <v>1.8036472920000002</v>
      </c>
      <c r="E21" s="599">
        <v>150000</v>
      </c>
      <c r="F21" s="597">
        <f>D21*E21</f>
        <v>270547.09380000003</v>
      </c>
    </row>
    <row r="22" spans="1:6" x14ac:dyDescent="0.25">
      <c r="A22" s="17"/>
      <c r="B22" s="18"/>
      <c r="D22" s="122"/>
      <c r="E22" s="123"/>
      <c r="F22" s="124"/>
    </row>
    <row r="23" spans="1:6" ht="16.5" thickBot="1" x14ac:dyDescent="0.3">
      <c r="A23" s="19"/>
      <c r="B23" s="20" t="s">
        <v>10</v>
      </c>
      <c r="C23" s="21"/>
      <c r="D23" s="125"/>
      <c r="E23" s="126"/>
      <c r="F23" s="127">
        <f>SUM(F20:F21)</f>
        <v>676367.73450000002</v>
      </c>
    </row>
    <row r="24" spans="1:6" ht="16.5" thickTop="1" x14ac:dyDescent="0.25"/>
    <row r="25" spans="1:6" s="567" customFormat="1" ht="18.75" x14ac:dyDescent="0.3">
      <c r="A25" s="562">
        <v>2</v>
      </c>
      <c r="B25" s="563" t="s">
        <v>0</v>
      </c>
      <c r="C25" s="564"/>
      <c r="D25" s="564"/>
      <c r="E25" s="565"/>
      <c r="F25" s="566"/>
    </row>
    <row r="26" spans="1:6" x14ac:dyDescent="0.25">
      <c r="A26" s="39"/>
      <c r="B26" s="40"/>
      <c r="C26" s="41"/>
      <c r="D26" s="42"/>
      <c r="E26" s="43"/>
      <c r="F26" s="44"/>
    </row>
    <row r="27" spans="1:6" x14ac:dyDescent="0.25">
      <c r="A27" s="45"/>
      <c r="B27" s="46" t="s">
        <v>12</v>
      </c>
      <c r="C27" s="47"/>
      <c r="D27" s="48"/>
      <c r="E27" s="49"/>
      <c r="F27" s="50"/>
    </row>
    <row r="28" spans="1:6" x14ac:dyDescent="0.25">
      <c r="A28" s="51"/>
      <c r="B28" s="52"/>
      <c r="C28" s="53"/>
      <c r="D28" s="54"/>
      <c r="E28" s="55"/>
      <c r="F28" s="56"/>
    </row>
    <row r="29" spans="1:6" s="572" customFormat="1" ht="42.75" x14ac:dyDescent="0.25">
      <c r="A29" s="593">
        <v>2.1</v>
      </c>
      <c r="B29" s="600" t="s">
        <v>987</v>
      </c>
      <c r="C29" s="589"/>
      <c r="D29" s="609"/>
      <c r="E29" s="596"/>
      <c r="F29" s="597"/>
    </row>
    <row r="30" spans="1:6" s="572" customFormat="1" ht="14.25" x14ac:dyDescent="0.25">
      <c r="A30" s="593"/>
      <c r="B30" s="600"/>
      <c r="C30" s="589"/>
      <c r="D30" s="609"/>
      <c r="E30" s="596"/>
      <c r="F30" s="597"/>
    </row>
    <row r="31" spans="1:6" s="572" customFormat="1" ht="28.5" x14ac:dyDescent="0.25">
      <c r="A31" s="593">
        <v>2.2000000000000002</v>
      </c>
      <c r="B31" s="600" t="s">
        <v>988</v>
      </c>
      <c r="C31" s="589"/>
      <c r="D31" s="609"/>
      <c r="E31" s="596"/>
      <c r="F31" s="597"/>
    </row>
    <row r="32" spans="1:6" s="572" customFormat="1" ht="14.25" x14ac:dyDescent="0.25">
      <c r="A32" s="610"/>
      <c r="B32" s="611"/>
      <c r="C32" s="612"/>
      <c r="D32" s="613"/>
      <c r="E32" s="614"/>
      <c r="F32" s="615"/>
    </row>
    <row r="33" spans="1:433" s="2" customFormat="1" ht="31.5" x14ac:dyDescent="0.25">
      <c r="A33" s="63">
        <v>2.1</v>
      </c>
      <c r="B33" s="62" t="s">
        <v>989</v>
      </c>
      <c r="C33" s="22"/>
      <c r="D33" s="24"/>
      <c r="E33" s="24"/>
      <c r="F33" s="64"/>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row>
    <row r="34" spans="1:433" s="572" customFormat="1" ht="15" x14ac:dyDescent="0.25">
      <c r="A34" s="587"/>
      <c r="B34" s="588"/>
      <c r="C34" s="589"/>
      <c r="D34" s="590"/>
      <c r="E34" s="591"/>
      <c r="F34" s="601"/>
    </row>
    <row r="35" spans="1:433" s="617" customFormat="1" ht="28.5" x14ac:dyDescent="0.25">
      <c r="A35" s="593" t="s">
        <v>75</v>
      </c>
      <c r="B35" s="605" t="s">
        <v>990</v>
      </c>
      <c r="C35" s="602" t="s">
        <v>71</v>
      </c>
      <c r="D35" s="616">
        <f>D37*1.2*0.6</f>
        <v>1298.62605024</v>
      </c>
      <c r="E35" s="599">
        <v>3500</v>
      </c>
      <c r="F35" s="604">
        <f>E35*D35</f>
        <v>4545191.1758399997</v>
      </c>
    </row>
    <row r="36" spans="1:433" s="572" customFormat="1" ht="57" x14ac:dyDescent="0.25">
      <c r="A36" s="593" t="s">
        <v>76</v>
      </c>
      <c r="B36" s="605" t="s">
        <v>991</v>
      </c>
      <c r="C36" s="602" t="s">
        <v>70</v>
      </c>
      <c r="D36" s="634">
        <f>D37/100</f>
        <v>18.036472920000001</v>
      </c>
      <c r="E36" s="599">
        <v>6500</v>
      </c>
      <c r="F36" s="604">
        <f>E36*D36</f>
        <v>117237.07398000002</v>
      </c>
    </row>
    <row r="37" spans="1:433" s="572" customFormat="1" ht="26.45" customHeight="1" x14ac:dyDescent="0.25">
      <c r="A37" s="593" t="s">
        <v>77</v>
      </c>
      <c r="B37" s="618" t="s">
        <v>992</v>
      </c>
      <c r="C37" s="602" t="s">
        <v>11</v>
      </c>
      <c r="D37" s="634">
        <f>SUBTOTAL(9,D41:D44)</f>
        <v>1803.6472920000001</v>
      </c>
      <c r="E37" s="619">
        <v>100</v>
      </c>
      <c r="F37" s="604">
        <f>E37*D37</f>
        <v>180364.7292</v>
      </c>
    </row>
    <row r="38" spans="1:433" s="2" customFormat="1" x14ac:dyDescent="0.25">
      <c r="A38" s="95"/>
      <c r="B38" s="96" t="s">
        <v>13</v>
      </c>
      <c r="C38" s="97"/>
      <c r="D38" s="131"/>
      <c r="E38" s="320"/>
      <c r="F38" s="98">
        <f>SUM(F35:F37)</f>
        <v>4842792.9790199995</v>
      </c>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row>
    <row r="39" spans="1:433" s="2" customFormat="1" x14ac:dyDescent="0.25">
      <c r="A39" s="58"/>
      <c r="B39" s="59"/>
      <c r="C39" s="41"/>
      <c r="D39" s="128"/>
      <c r="E39" s="128"/>
      <c r="F39" s="44"/>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row>
    <row r="40" spans="1:433" s="2" customFormat="1" x14ac:dyDescent="0.25">
      <c r="A40" s="63">
        <v>2.2000000000000002</v>
      </c>
      <c r="B40" s="62" t="s">
        <v>993</v>
      </c>
      <c r="C40" s="22"/>
      <c r="D40" s="24"/>
      <c r="E40" s="24"/>
      <c r="F40" s="64"/>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row>
    <row r="41" spans="1:433" s="511" customFormat="1" x14ac:dyDescent="0.25">
      <c r="A41" s="31" t="s">
        <v>118</v>
      </c>
      <c r="B41" s="26" t="s">
        <v>970</v>
      </c>
      <c r="C41" s="33" t="s">
        <v>11</v>
      </c>
      <c r="D41" s="634">
        <v>217.2</v>
      </c>
      <c r="E41" s="186">
        <v>1350.6685919999998</v>
      </c>
      <c r="F41" s="120">
        <f>D41*E41</f>
        <v>293365.21818239993</v>
      </c>
    </row>
    <row r="42" spans="1:433" s="511" customFormat="1" x14ac:dyDescent="0.25">
      <c r="A42" s="31" t="s">
        <v>119</v>
      </c>
      <c r="B42" s="26" t="s">
        <v>971</v>
      </c>
      <c r="C42" s="33" t="s">
        <v>11</v>
      </c>
      <c r="D42" s="634">
        <v>665.14729199999999</v>
      </c>
      <c r="E42" s="186">
        <v>2151.0427679999993</v>
      </c>
      <c r="F42" s="120">
        <f t="shared" ref="F42:F44" si="0">D42*E42</f>
        <v>1430760.2721113837</v>
      </c>
    </row>
    <row r="43" spans="1:433" s="511" customFormat="1" x14ac:dyDescent="0.25">
      <c r="A43" s="31" t="s">
        <v>120</v>
      </c>
      <c r="B43" s="26" t="s">
        <v>972</v>
      </c>
      <c r="C43" s="33" t="s">
        <v>11</v>
      </c>
      <c r="D43" s="634">
        <v>615.9</v>
      </c>
      <c r="E43" s="186">
        <v>3351.6436799999997</v>
      </c>
      <c r="F43" s="120">
        <f t="shared" si="0"/>
        <v>2064277.3425119997</v>
      </c>
    </row>
    <row r="44" spans="1:433" s="511" customFormat="1" x14ac:dyDescent="0.25">
      <c r="A44" s="31" t="s">
        <v>121</v>
      </c>
      <c r="B44" s="26" t="s">
        <v>973</v>
      </c>
      <c r="C44" s="33" t="s">
        <v>11</v>
      </c>
      <c r="D44" s="634">
        <v>305.39999999999998</v>
      </c>
      <c r="E44" s="186">
        <v>5347.7222400000001</v>
      </c>
      <c r="F44" s="120">
        <f t="shared" si="0"/>
        <v>1633194.372096</v>
      </c>
    </row>
    <row r="45" spans="1:433" s="104" customFormat="1" x14ac:dyDescent="0.25">
      <c r="A45" s="31" t="s">
        <v>122</v>
      </c>
      <c r="B45" s="26" t="s">
        <v>15</v>
      </c>
      <c r="C45" s="27" t="s">
        <v>11</v>
      </c>
      <c r="D45" s="29">
        <f>SUBTOTAL(9,D41:D44)</f>
        <v>1803.6472920000001</v>
      </c>
      <c r="E45" s="186">
        <v>400</v>
      </c>
      <c r="F45" s="120">
        <f t="shared" ref="F45" si="1">D45*E45</f>
        <v>721458.91680000001</v>
      </c>
      <c r="G45" s="103"/>
    </row>
    <row r="46" spans="1:433" s="104" customFormat="1" x14ac:dyDescent="0.25">
      <c r="A46" s="31" t="s">
        <v>123</v>
      </c>
      <c r="B46" s="26" t="s">
        <v>192</v>
      </c>
      <c r="C46" s="27" t="s">
        <v>11</v>
      </c>
      <c r="D46" s="29">
        <f>SUBTOTAL(9,D41:D44)</f>
        <v>1803.6472920000001</v>
      </c>
      <c r="E46" s="186">
        <v>500</v>
      </c>
      <c r="F46" s="120">
        <f>D46*E46</f>
        <v>901823.64600000007</v>
      </c>
      <c r="G46" s="103"/>
    </row>
    <row r="47" spans="1:433" s="2" customFormat="1" x14ac:dyDescent="0.25">
      <c r="A47" s="95"/>
      <c r="B47" s="96" t="s">
        <v>1158</v>
      </c>
      <c r="C47" s="97"/>
      <c r="D47" s="131"/>
      <c r="E47" s="320"/>
      <c r="F47" s="98">
        <f>SUM(F41:F46)</f>
        <v>7044879.7677017832</v>
      </c>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row>
    <row r="48" spans="1:433" s="104" customFormat="1" ht="16.5" thickBot="1" x14ac:dyDescent="0.3">
      <c r="A48" s="68"/>
      <c r="B48" s="20" t="s">
        <v>1159</v>
      </c>
      <c r="C48" s="69"/>
      <c r="D48" s="38"/>
      <c r="E48" s="129"/>
      <c r="F48" s="70">
        <f>F47+F38</f>
        <v>11887672.746721782</v>
      </c>
      <c r="G48" s="103"/>
    </row>
    <row r="49" spans="1:7" s="104" customFormat="1" ht="16.5" thickTop="1" x14ac:dyDescent="0.25">
      <c r="A49" s="71"/>
      <c r="B49" s="72"/>
      <c r="C49" s="9"/>
      <c r="D49" s="73"/>
      <c r="E49" s="74"/>
      <c r="F49" s="75"/>
      <c r="G49" s="103"/>
    </row>
    <row r="50" spans="1:7" s="567" customFormat="1" ht="18.75" x14ac:dyDescent="0.3">
      <c r="A50" s="562">
        <v>3</v>
      </c>
      <c r="B50" s="563" t="s">
        <v>1</v>
      </c>
      <c r="C50" s="564"/>
      <c r="D50" s="564"/>
      <c r="E50" s="565"/>
      <c r="F50" s="566"/>
    </row>
    <row r="51" spans="1:7" s="104" customFormat="1" x14ac:dyDescent="0.25">
      <c r="A51" s="63">
        <v>3.1</v>
      </c>
      <c r="B51" s="850" t="s">
        <v>33</v>
      </c>
      <c r="C51" s="851"/>
      <c r="D51" s="851"/>
      <c r="E51" s="851"/>
      <c r="F51" s="852"/>
      <c r="G51" s="103"/>
    </row>
    <row r="52" spans="1:7" s="104" customFormat="1" x14ac:dyDescent="0.25">
      <c r="A52" s="60"/>
      <c r="B52" s="81"/>
      <c r="C52" s="77"/>
      <c r="D52" s="366"/>
      <c r="E52" s="65"/>
      <c r="F52" s="78"/>
      <c r="G52" s="103"/>
    </row>
    <row r="53" spans="1:7" s="104" customFormat="1" ht="18.75" x14ac:dyDescent="0.25">
      <c r="A53" s="76" t="s">
        <v>1086</v>
      </c>
      <c r="B53" s="349" t="s">
        <v>641</v>
      </c>
      <c r="C53" s="27"/>
      <c r="D53" s="28"/>
      <c r="E53" s="29"/>
      <c r="F53" s="30"/>
      <c r="G53" s="103"/>
    </row>
    <row r="54" spans="1:7" s="572" customFormat="1" ht="28.5" x14ac:dyDescent="0.25">
      <c r="A54" s="620" t="s">
        <v>1087</v>
      </c>
      <c r="B54" s="605" t="s">
        <v>34</v>
      </c>
      <c r="C54" s="602" t="s">
        <v>951</v>
      </c>
      <c r="D54" s="621">
        <f xml:space="preserve"> (1+2)*(1+2)*1*1.05</f>
        <v>9.4500000000000011</v>
      </c>
      <c r="E54" s="599">
        <v>2000</v>
      </c>
      <c r="F54" s="604">
        <f t="shared" ref="F54:F64" si="2">D54*E54</f>
        <v>18900.000000000004</v>
      </c>
    </row>
    <row r="55" spans="1:7" s="572" customFormat="1" ht="28.5" x14ac:dyDescent="0.25">
      <c r="A55" s="620" t="s">
        <v>1088</v>
      </c>
      <c r="B55" s="605" t="s">
        <v>35</v>
      </c>
      <c r="C55" s="602" t="s">
        <v>951</v>
      </c>
      <c r="D55" s="621">
        <f xml:space="preserve"> (2)*(2)*0.3*1.05</f>
        <v>1.26</v>
      </c>
      <c r="E55" s="599">
        <v>30000</v>
      </c>
      <c r="F55" s="604">
        <f t="shared" si="2"/>
        <v>37800</v>
      </c>
    </row>
    <row r="56" spans="1:7" s="572" customFormat="1" ht="16.5" x14ac:dyDescent="0.25">
      <c r="A56" s="620" t="s">
        <v>1089</v>
      </c>
      <c r="B56" s="605" t="s">
        <v>18</v>
      </c>
      <c r="C56" s="602" t="s">
        <v>951</v>
      </c>
      <c r="D56" s="621">
        <f xml:space="preserve"> (2)*(2)*0.05*1.05</f>
        <v>0.21000000000000002</v>
      </c>
      <c r="E56" s="599">
        <v>130000</v>
      </c>
      <c r="F56" s="604">
        <f t="shared" si="2"/>
        <v>27300.000000000004</v>
      </c>
    </row>
    <row r="57" spans="1:7" s="572" customFormat="1" ht="16.5" x14ac:dyDescent="0.25">
      <c r="A57" s="620" t="s">
        <v>1090</v>
      </c>
      <c r="B57" s="605" t="s">
        <v>36</v>
      </c>
      <c r="C57" s="602" t="s">
        <v>951</v>
      </c>
      <c r="D57" s="621">
        <f xml:space="preserve"> (1.8)*(1.8)*0.15*1.05</f>
        <v>0.51029999999999998</v>
      </c>
      <c r="E57" s="599">
        <v>400000</v>
      </c>
      <c r="F57" s="604">
        <f t="shared" si="2"/>
        <v>204120</v>
      </c>
    </row>
    <row r="58" spans="1:7" s="572" customFormat="1" ht="16.5" x14ac:dyDescent="0.25">
      <c r="A58" s="620" t="s">
        <v>1091</v>
      </c>
      <c r="B58" s="605" t="s">
        <v>37</v>
      </c>
      <c r="C58" s="602" t="s">
        <v>951</v>
      </c>
      <c r="D58" s="621">
        <f xml:space="preserve"> ((1.8)*(1.8)*0.15  -  (0.6*0.6)*0.15)*1.05</f>
        <v>0.4536</v>
      </c>
      <c r="E58" s="599">
        <v>400000</v>
      </c>
      <c r="F58" s="604">
        <f t="shared" si="2"/>
        <v>181440</v>
      </c>
    </row>
    <row r="59" spans="1:7" s="572" customFormat="1" ht="16.5" x14ac:dyDescent="0.25">
      <c r="A59" s="620" t="s">
        <v>1092</v>
      </c>
      <c r="B59" s="605" t="s">
        <v>994</v>
      </c>
      <c r="C59" s="602" t="s">
        <v>951</v>
      </c>
      <c r="D59" s="621">
        <f xml:space="preserve"> 0.2*(2*(1.4+1.4)*1.2)*1.05</f>
        <v>1.4112000000000002</v>
      </c>
      <c r="E59" s="599">
        <v>90000</v>
      </c>
      <c r="F59" s="604">
        <f t="shared" si="2"/>
        <v>127008.00000000001</v>
      </c>
    </row>
    <row r="60" spans="1:7" s="572" customFormat="1" ht="28.5" x14ac:dyDescent="0.25">
      <c r="A60" s="620" t="s">
        <v>1093</v>
      </c>
      <c r="B60" s="605" t="s">
        <v>32</v>
      </c>
      <c r="C60" s="602" t="s">
        <v>995</v>
      </c>
      <c r="D60" s="621">
        <f>2*(1.2+1.2)*1.2*1.05</f>
        <v>6.048</v>
      </c>
      <c r="E60" s="599">
        <v>6000</v>
      </c>
      <c r="F60" s="604">
        <f t="shared" si="2"/>
        <v>36288</v>
      </c>
    </row>
    <row r="61" spans="1:7" s="572" customFormat="1" ht="16.5" x14ac:dyDescent="0.25">
      <c r="A61" s="620" t="s">
        <v>1094</v>
      </c>
      <c r="B61" s="605" t="s">
        <v>22</v>
      </c>
      <c r="C61" s="602" t="s">
        <v>995</v>
      </c>
      <c r="D61" s="621">
        <f>((1.8)*(1.8)   -  (0.6*0.6))*1.05</f>
        <v>3.0240000000000005</v>
      </c>
      <c r="E61" s="599">
        <v>5000</v>
      </c>
      <c r="F61" s="604">
        <f t="shared" si="2"/>
        <v>15120.000000000002</v>
      </c>
    </row>
    <row r="62" spans="1:7" s="572" customFormat="1" ht="28.5" x14ac:dyDescent="0.25">
      <c r="A62" s="620" t="s">
        <v>1095</v>
      </c>
      <c r="B62" s="605" t="s">
        <v>27</v>
      </c>
      <c r="C62" s="602" t="s">
        <v>995</v>
      </c>
      <c r="D62" s="621">
        <f>2*(1.6+1.6)*0.2*1.05</f>
        <v>1.3440000000000003</v>
      </c>
      <c r="E62" s="599">
        <v>3000</v>
      </c>
      <c r="F62" s="604">
        <f t="shared" si="2"/>
        <v>4032.0000000000009</v>
      </c>
    </row>
    <row r="63" spans="1:7" s="572" customFormat="1" ht="28.5" x14ac:dyDescent="0.25">
      <c r="A63" s="620" t="s">
        <v>1096</v>
      </c>
      <c r="B63" s="605" t="s">
        <v>39</v>
      </c>
      <c r="C63" s="602" t="s">
        <v>14</v>
      </c>
      <c r="D63" s="621">
        <v>1</v>
      </c>
      <c r="E63" s="599">
        <v>70000</v>
      </c>
      <c r="F63" s="604">
        <f t="shared" si="2"/>
        <v>70000</v>
      </c>
    </row>
    <row r="64" spans="1:7" s="572" customFormat="1" ht="28.5" x14ac:dyDescent="0.25">
      <c r="A64" s="620" t="s">
        <v>1097</v>
      </c>
      <c r="B64" s="605" t="s">
        <v>40</v>
      </c>
      <c r="C64" s="602" t="s">
        <v>11</v>
      </c>
      <c r="D64" s="621">
        <v>3.6</v>
      </c>
      <c r="E64" s="599">
        <v>5000</v>
      </c>
      <c r="F64" s="604">
        <f t="shared" si="2"/>
        <v>18000</v>
      </c>
    </row>
    <row r="65" spans="1:125" s="572" customFormat="1" ht="28.5" x14ac:dyDescent="0.25">
      <c r="A65" s="620" t="s">
        <v>1098</v>
      </c>
      <c r="B65" s="605" t="s">
        <v>191</v>
      </c>
      <c r="C65" s="589" t="s">
        <v>190</v>
      </c>
      <c r="D65" s="621">
        <v>1</v>
      </c>
      <c r="E65" s="599">
        <v>300000</v>
      </c>
      <c r="F65" s="604">
        <f>E65*D65</f>
        <v>300000</v>
      </c>
    </row>
    <row r="66" spans="1:125" x14ac:dyDescent="0.25">
      <c r="A66" s="352"/>
      <c r="B66" s="353" t="s">
        <v>30</v>
      </c>
      <c r="C66" s="354"/>
      <c r="D66" s="355"/>
      <c r="E66" s="356"/>
      <c r="F66" s="357">
        <f>SUM(F54:F65)</f>
        <v>1040008</v>
      </c>
    </row>
    <row r="67" spans="1:125" s="36" customFormat="1" x14ac:dyDescent="0.25">
      <c r="A67" s="358"/>
      <c r="B67" s="359" t="s">
        <v>844</v>
      </c>
      <c r="C67" s="360"/>
      <c r="D67" s="361" t="s">
        <v>642</v>
      </c>
      <c r="E67" s="362">
        <v>66</v>
      </c>
      <c r="F67" s="363">
        <f>F66*E67</f>
        <v>68640528</v>
      </c>
      <c r="G67" s="1"/>
      <c r="H67" s="1"/>
      <c r="I67" s="1"/>
      <c r="J67" s="1"/>
      <c r="K67" s="1"/>
      <c r="L67" s="1"/>
      <c r="M67" s="1"/>
      <c r="N67" s="1"/>
      <c r="O67" s="1"/>
      <c r="P67" s="1"/>
      <c r="Q67" s="1"/>
      <c r="R67" s="1"/>
      <c r="S67" s="1"/>
      <c r="T67" s="1"/>
      <c r="U67" s="1"/>
      <c r="V67" s="1"/>
      <c r="W67" s="1"/>
      <c r="X67" s="1"/>
      <c r="Y67" s="1"/>
      <c r="Z67" s="1"/>
      <c r="AA67" s="1"/>
      <c r="AB67" s="1"/>
    </row>
    <row r="68" spans="1:125" x14ac:dyDescent="0.25">
      <c r="A68" s="76"/>
      <c r="B68" s="81"/>
      <c r="C68" s="27"/>
      <c r="D68" s="80"/>
      <c r="E68" s="29"/>
      <c r="F68" s="30"/>
    </row>
    <row r="69" spans="1:125" ht="18.75" x14ac:dyDescent="0.25">
      <c r="A69" s="76" t="s">
        <v>1099</v>
      </c>
      <c r="B69" s="349" t="s">
        <v>41</v>
      </c>
      <c r="C69" s="27"/>
      <c r="D69" s="28"/>
      <c r="E69" s="29"/>
      <c r="F69" s="30"/>
    </row>
    <row r="70" spans="1:125" s="572" customFormat="1" ht="28.5" x14ac:dyDescent="0.25">
      <c r="A70" s="620" t="s">
        <v>1100</v>
      </c>
      <c r="B70" s="605" t="s">
        <v>34</v>
      </c>
      <c r="C70" s="602" t="s">
        <v>951</v>
      </c>
      <c r="D70" s="621">
        <f xml:space="preserve"> (1+2)*(1+2)*1*1.05</f>
        <v>9.4500000000000011</v>
      </c>
      <c r="E70" s="599">
        <v>2000</v>
      </c>
      <c r="F70" s="604">
        <f t="shared" ref="F70:F80" si="3">D70*E70</f>
        <v>18900.000000000004</v>
      </c>
    </row>
    <row r="71" spans="1:125" s="572" customFormat="1" ht="28.5" x14ac:dyDescent="0.25">
      <c r="A71" s="620" t="s">
        <v>1101</v>
      </c>
      <c r="B71" s="605" t="s">
        <v>35</v>
      </c>
      <c r="C71" s="602" t="s">
        <v>951</v>
      </c>
      <c r="D71" s="621">
        <f xml:space="preserve"> (2)*(2)*0.3*1.05</f>
        <v>1.26</v>
      </c>
      <c r="E71" s="599">
        <v>30000</v>
      </c>
      <c r="F71" s="604">
        <f t="shared" si="3"/>
        <v>37800</v>
      </c>
    </row>
    <row r="72" spans="1:125" s="572" customFormat="1" ht="16.5" x14ac:dyDescent="0.25">
      <c r="A72" s="620" t="s">
        <v>1102</v>
      </c>
      <c r="B72" s="605" t="s">
        <v>18</v>
      </c>
      <c r="C72" s="602" t="s">
        <v>951</v>
      </c>
      <c r="D72" s="621">
        <f xml:space="preserve"> (2)*(2)*0.05*1.05</f>
        <v>0.21000000000000002</v>
      </c>
      <c r="E72" s="599">
        <v>130000</v>
      </c>
      <c r="F72" s="604">
        <f t="shared" si="3"/>
        <v>27300.000000000004</v>
      </c>
    </row>
    <row r="73" spans="1:125" s="572" customFormat="1" ht="16.5" x14ac:dyDescent="0.25">
      <c r="A73" s="620" t="s">
        <v>1103</v>
      </c>
      <c r="B73" s="605" t="s">
        <v>36</v>
      </c>
      <c r="C73" s="602" t="s">
        <v>951</v>
      </c>
      <c r="D73" s="621">
        <f xml:space="preserve"> (1.8)*(1.8)*0.15*1.05</f>
        <v>0.51029999999999998</v>
      </c>
      <c r="E73" s="599">
        <v>400000</v>
      </c>
      <c r="F73" s="604">
        <f t="shared" si="3"/>
        <v>204120</v>
      </c>
      <c r="H73" s="617"/>
      <c r="I73" s="617"/>
      <c r="J73" s="617"/>
      <c r="K73" s="617"/>
      <c r="L73" s="617"/>
      <c r="M73" s="617"/>
      <c r="N73" s="617"/>
      <c r="O73" s="617"/>
      <c r="P73" s="617"/>
      <c r="Q73" s="617"/>
      <c r="R73" s="617"/>
      <c r="S73" s="617"/>
      <c r="T73" s="617"/>
      <c r="U73" s="617"/>
      <c r="V73" s="617"/>
      <c r="W73" s="617"/>
      <c r="X73" s="617"/>
      <c r="Y73" s="617"/>
      <c r="Z73" s="617"/>
      <c r="AA73" s="617"/>
      <c r="AB73" s="617"/>
      <c r="AC73" s="617"/>
      <c r="AD73" s="617"/>
      <c r="AE73" s="617"/>
      <c r="AF73" s="617"/>
      <c r="AG73" s="617"/>
      <c r="AH73" s="617"/>
      <c r="AI73" s="617"/>
      <c r="AJ73" s="617"/>
      <c r="AK73" s="617"/>
      <c r="AL73" s="617"/>
      <c r="AM73" s="617"/>
      <c r="AN73" s="617"/>
      <c r="AO73" s="617"/>
      <c r="AP73" s="617"/>
      <c r="AQ73" s="617"/>
      <c r="AR73" s="617"/>
      <c r="AS73" s="617"/>
      <c r="AT73" s="617"/>
      <c r="AU73" s="617"/>
      <c r="AV73" s="617"/>
      <c r="AW73" s="617"/>
      <c r="AX73" s="617"/>
      <c r="AY73" s="617"/>
      <c r="AZ73" s="617"/>
      <c r="BA73" s="617"/>
      <c r="BB73" s="617"/>
      <c r="BC73" s="617"/>
      <c r="BD73" s="617"/>
      <c r="BE73" s="617"/>
      <c r="BF73" s="617"/>
      <c r="BG73" s="617"/>
      <c r="BH73" s="617"/>
      <c r="BI73" s="617"/>
      <c r="BJ73" s="617"/>
      <c r="BK73" s="617"/>
      <c r="BL73" s="617"/>
      <c r="BM73" s="617"/>
      <c r="BN73" s="617"/>
      <c r="BO73" s="617"/>
      <c r="BP73" s="617"/>
      <c r="BQ73" s="617"/>
      <c r="BR73" s="617"/>
      <c r="BS73" s="617"/>
      <c r="BT73" s="617"/>
      <c r="BU73" s="617"/>
      <c r="BV73" s="617"/>
      <c r="BW73" s="617"/>
      <c r="BX73" s="617"/>
      <c r="BY73" s="617"/>
      <c r="BZ73" s="617"/>
      <c r="CA73" s="617"/>
      <c r="CB73" s="617"/>
      <c r="CC73" s="617"/>
      <c r="CD73" s="617"/>
      <c r="CE73" s="617"/>
      <c r="CF73" s="617"/>
      <c r="CG73" s="617"/>
      <c r="CH73" s="617"/>
      <c r="CI73" s="617"/>
      <c r="CJ73" s="617"/>
      <c r="CK73" s="617"/>
      <c r="CL73" s="617"/>
      <c r="CM73" s="617"/>
      <c r="CN73" s="617"/>
      <c r="CO73" s="617"/>
      <c r="CP73" s="617"/>
      <c r="CQ73" s="617"/>
      <c r="CR73" s="617"/>
      <c r="CS73" s="617"/>
      <c r="CT73" s="617"/>
      <c r="CU73" s="617"/>
      <c r="CV73" s="617"/>
      <c r="CW73" s="617"/>
      <c r="CX73" s="617"/>
      <c r="CY73" s="617"/>
      <c r="CZ73" s="617"/>
      <c r="DA73" s="617"/>
      <c r="DB73" s="617"/>
      <c r="DC73" s="617"/>
      <c r="DD73" s="617"/>
      <c r="DE73" s="617"/>
      <c r="DF73" s="617"/>
      <c r="DG73" s="617"/>
      <c r="DH73" s="617"/>
      <c r="DI73" s="617"/>
      <c r="DJ73" s="617"/>
      <c r="DK73" s="617"/>
      <c r="DL73" s="617"/>
      <c r="DM73" s="617"/>
      <c r="DN73" s="617"/>
      <c r="DO73" s="617"/>
      <c r="DP73" s="617"/>
      <c r="DQ73" s="617"/>
      <c r="DR73" s="617"/>
      <c r="DS73" s="617"/>
      <c r="DT73" s="617"/>
      <c r="DU73" s="617"/>
    </row>
    <row r="74" spans="1:125" s="572" customFormat="1" ht="16.5" x14ac:dyDescent="0.25">
      <c r="A74" s="620" t="s">
        <v>1104</v>
      </c>
      <c r="B74" s="605" t="s">
        <v>37</v>
      </c>
      <c r="C74" s="602" t="s">
        <v>951</v>
      </c>
      <c r="D74" s="621">
        <f xml:space="preserve"> ((1.8)*(1.8)*0.15  -  (0.6*0.6)*0.15)*1.05</f>
        <v>0.4536</v>
      </c>
      <c r="E74" s="599">
        <v>400000</v>
      </c>
      <c r="F74" s="604">
        <f t="shared" si="3"/>
        <v>181440</v>
      </c>
    </row>
    <row r="75" spans="1:125" s="572" customFormat="1" ht="16.5" x14ac:dyDescent="0.25">
      <c r="A75" s="620" t="s">
        <v>1105</v>
      </c>
      <c r="B75" s="605" t="s">
        <v>38</v>
      </c>
      <c r="C75" s="602" t="s">
        <v>951</v>
      </c>
      <c r="D75" s="621">
        <f xml:space="preserve"> 0.2*(2*(1.4+1.4)*1.2)*1.05</f>
        <v>1.4112000000000002</v>
      </c>
      <c r="E75" s="599">
        <v>90000</v>
      </c>
      <c r="F75" s="604">
        <f t="shared" si="3"/>
        <v>127008.00000000001</v>
      </c>
    </row>
    <row r="76" spans="1:125" s="572" customFormat="1" ht="28.5" x14ac:dyDescent="0.25">
      <c r="A76" s="620" t="s">
        <v>1106</v>
      </c>
      <c r="B76" s="605" t="s">
        <v>32</v>
      </c>
      <c r="C76" s="602" t="s">
        <v>995</v>
      </c>
      <c r="D76" s="621">
        <f>2*(1.2+1.2)*1.2*1.05</f>
        <v>6.048</v>
      </c>
      <c r="E76" s="599">
        <v>3800</v>
      </c>
      <c r="F76" s="604">
        <f t="shared" si="3"/>
        <v>22982.400000000001</v>
      </c>
    </row>
    <row r="77" spans="1:125" s="572" customFormat="1" ht="16.5" x14ac:dyDescent="0.25">
      <c r="A77" s="620" t="s">
        <v>1107</v>
      </c>
      <c r="B77" s="605" t="s">
        <v>22</v>
      </c>
      <c r="C77" s="602" t="s">
        <v>995</v>
      </c>
      <c r="D77" s="621">
        <f>((1.8)*(1.8)   -  (0.6*0.6))*1.05</f>
        <v>3.0240000000000005</v>
      </c>
      <c r="E77" s="599">
        <v>3800</v>
      </c>
      <c r="F77" s="604">
        <f t="shared" si="3"/>
        <v>11491.200000000003</v>
      </c>
    </row>
    <row r="78" spans="1:125" s="572" customFormat="1" ht="28.5" x14ac:dyDescent="0.25">
      <c r="A78" s="620" t="s">
        <v>1108</v>
      </c>
      <c r="B78" s="605" t="s">
        <v>27</v>
      </c>
      <c r="C78" s="602" t="s">
        <v>995</v>
      </c>
      <c r="D78" s="621">
        <f>2*(1.6+1.6)*0.2*1.05</f>
        <v>1.3440000000000003</v>
      </c>
      <c r="E78" s="599">
        <v>3000</v>
      </c>
      <c r="F78" s="604">
        <f t="shared" si="3"/>
        <v>4032.0000000000009</v>
      </c>
    </row>
    <row r="79" spans="1:125" s="572" customFormat="1" ht="28.5" x14ac:dyDescent="0.25">
      <c r="A79" s="620" t="s">
        <v>1109</v>
      </c>
      <c r="B79" s="605" t="s">
        <v>39</v>
      </c>
      <c r="C79" s="602" t="s">
        <v>14</v>
      </c>
      <c r="D79" s="621">
        <v>1</v>
      </c>
      <c r="E79" s="599">
        <v>70000</v>
      </c>
      <c r="F79" s="604">
        <f t="shared" si="3"/>
        <v>70000</v>
      </c>
    </row>
    <row r="80" spans="1:125" s="572" customFormat="1" ht="28.5" x14ac:dyDescent="0.25">
      <c r="A80" s="620" t="s">
        <v>1110</v>
      </c>
      <c r="B80" s="605" t="s">
        <v>40</v>
      </c>
      <c r="C80" s="602" t="s">
        <v>11</v>
      </c>
      <c r="D80" s="621">
        <v>1.6</v>
      </c>
      <c r="E80" s="599">
        <v>5000</v>
      </c>
      <c r="F80" s="604">
        <f t="shared" si="3"/>
        <v>8000</v>
      </c>
    </row>
    <row r="81" spans="1:433" s="572" customFormat="1" ht="28.5" x14ac:dyDescent="0.25">
      <c r="A81" s="620" t="s">
        <v>1111</v>
      </c>
      <c r="B81" s="605" t="s">
        <v>996</v>
      </c>
      <c r="C81" s="589" t="s">
        <v>190</v>
      </c>
      <c r="D81" s="621">
        <v>1</v>
      </c>
      <c r="E81" s="599">
        <v>450000</v>
      </c>
      <c r="F81" s="604">
        <f>E81*D81</f>
        <v>450000</v>
      </c>
    </row>
    <row r="82" spans="1:433" s="572" customFormat="1" ht="14.25" x14ac:dyDescent="0.25">
      <c r="A82" s="620" t="s">
        <v>1112</v>
      </c>
      <c r="B82" s="605" t="s">
        <v>880</v>
      </c>
      <c r="C82" s="589" t="s">
        <v>190</v>
      </c>
      <c r="D82" s="622">
        <v>1</v>
      </c>
      <c r="E82" s="623">
        <v>150000</v>
      </c>
      <c r="F82" s="604">
        <f>E82*D82</f>
        <v>150000</v>
      </c>
    </row>
    <row r="83" spans="1:433" x14ac:dyDescent="0.25">
      <c r="A83" s="352"/>
      <c r="B83" s="353" t="s">
        <v>30</v>
      </c>
      <c r="C83" s="354"/>
      <c r="D83" s="355"/>
      <c r="E83" s="356"/>
      <c r="F83" s="357">
        <f>SUM(F70:F82)</f>
        <v>1313073.6000000001</v>
      </c>
    </row>
    <row r="84" spans="1:433" s="36" customFormat="1" x14ac:dyDescent="0.25">
      <c r="A84" s="358"/>
      <c r="B84" s="359" t="s">
        <v>845</v>
      </c>
      <c r="C84" s="360"/>
      <c r="D84" s="361" t="s">
        <v>642</v>
      </c>
      <c r="E84" s="362">
        <v>66</v>
      </c>
      <c r="F84" s="363">
        <f>F83*E84</f>
        <v>86662857.600000009</v>
      </c>
      <c r="G84" s="1"/>
      <c r="H84" s="1"/>
      <c r="I84" s="1"/>
      <c r="J84" s="1"/>
      <c r="K84" s="1"/>
      <c r="L84" s="1"/>
      <c r="M84" s="1"/>
      <c r="N84" s="1"/>
      <c r="O84" s="1"/>
      <c r="P84" s="1"/>
      <c r="Q84" s="1"/>
      <c r="R84" s="1"/>
      <c r="S84" s="1"/>
      <c r="T84" s="1"/>
      <c r="U84" s="1"/>
      <c r="V84" s="1"/>
      <c r="W84" s="1"/>
      <c r="X84" s="1"/>
      <c r="Y84" s="1"/>
      <c r="Z84" s="1"/>
      <c r="AA84" s="1"/>
      <c r="AB84" s="1"/>
    </row>
    <row r="85" spans="1:433" x14ac:dyDescent="0.25">
      <c r="A85" s="84"/>
      <c r="B85" s="57"/>
      <c r="C85" s="85"/>
      <c r="D85" s="86"/>
      <c r="E85" s="87"/>
      <c r="F85" s="88"/>
    </row>
    <row r="86" spans="1:433" customFormat="1" ht="15" x14ac:dyDescent="0.25"/>
    <row r="87" spans="1:433" s="2" customFormat="1" ht="31.5" x14ac:dyDescent="0.25">
      <c r="A87" s="92" t="s">
        <v>1113</v>
      </c>
      <c r="B87" s="62" t="s">
        <v>997</v>
      </c>
      <c r="C87" s="99"/>
      <c r="D87" s="100"/>
      <c r="E87" s="101"/>
      <c r="F87" s="102"/>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row>
    <row r="88" spans="1:433" s="2" customFormat="1" ht="28.5" x14ac:dyDescent="0.25">
      <c r="A88" s="620" t="s">
        <v>1114</v>
      </c>
      <c r="B88" s="605" t="s">
        <v>16</v>
      </c>
      <c r="C88" s="602" t="s">
        <v>951</v>
      </c>
      <c r="D88" s="603">
        <f>(1.8+1)*(1.8+1)*1*1.05</f>
        <v>8.2319999999999993</v>
      </c>
      <c r="E88" s="599">
        <v>2000</v>
      </c>
      <c r="F88" s="604">
        <f t="shared" ref="F88:F97" si="4">D88*E88</f>
        <v>16464</v>
      </c>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row>
    <row r="89" spans="1:433" s="2" customFormat="1" ht="28.5" x14ac:dyDescent="0.25">
      <c r="A89" s="620" t="s">
        <v>1115</v>
      </c>
      <c r="B89" s="605" t="s">
        <v>42</v>
      </c>
      <c r="C89" s="602" t="s">
        <v>951</v>
      </c>
      <c r="D89" s="603">
        <f>(2*0.3*2.2)-(0.2*0.2*0.3)*1.05</f>
        <v>1.3074000000000001</v>
      </c>
      <c r="E89" s="599">
        <v>30000</v>
      </c>
      <c r="F89" s="604">
        <f t="shared" si="4"/>
        <v>39222</v>
      </c>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row>
    <row r="90" spans="1:433" s="2" customFormat="1" ht="16.5" x14ac:dyDescent="0.25">
      <c r="A90" s="620" t="s">
        <v>1116</v>
      </c>
      <c r="B90" s="605" t="s">
        <v>18</v>
      </c>
      <c r="C90" s="602" t="s">
        <v>951</v>
      </c>
      <c r="D90" s="603">
        <f>(1.8*0.05*2)-(0.2*0.2*0.05)*1.05</f>
        <v>0.17790000000000003</v>
      </c>
      <c r="E90" s="599">
        <v>130000</v>
      </c>
      <c r="F90" s="604">
        <f t="shared" si="4"/>
        <v>23127.000000000004</v>
      </c>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row>
    <row r="91" spans="1:433" s="2" customFormat="1" ht="16.5" x14ac:dyDescent="0.25">
      <c r="A91" s="620" t="s">
        <v>1117</v>
      </c>
      <c r="B91" s="605" t="s">
        <v>43</v>
      </c>
      <c r="C91" s="602" t="s">
        <v>951</v>
      </c>
      <c r="D91" s="603">
        <f>(1.8*0.15*2)-(0.2*0.2*0.15)*1.05</f>
        <v>0.53370000000000006</v>
      </c>
      <c r="E91" s="624">
        <v>400000</v>
      </c>
      <c r="F91" s="604">
        <f t="shared" si="4"/>
        <v>213480.00000000003</v>
      </c>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row>
    <row r="92" spans="1:433" s="2" customFormat="1" ht="16.5" x14ac:dyDescent="0.25">
      <c r="A92" s="620" t="s">
        <v>1118</v>
      </c>
      <c r="B92" s="605" t="s">
        <v>44</v>
      </c>
      <c r="C92" s="602" t="s">
        <v>951</v>
      </c>
      <c r="D92" s="603">
        <f>((1.6*1.2*0.2*2)+(1.2*1.2*0.2*2))*1.05</f>
        <v>1.4112</v>
      </c>
      <c r="E92" s="624">
        <v>90000</v>
      </c>
      <c r="F92" s="604">
        <f t="shared" si="4"/>
        <v>127008</v>
      </c>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row>
    <row r="93" spans="1:433" s="2" customFormat="1" ht="30.75" x14ac:dyDescent="0.25">
      <c r="A93" s="620" t="s">
        <v>1119</v>
      </c>
      <c r="B93" s="605" t="s">
        <v>999</v>
      </c>
      <c r="C93" s="602" t="s">
        <v>950</v>
      </c>
      <c r="D93" s="603">
        <f>(1.2*1.2*4)*1.05</f>
        <v>6.048</v>
      </c>
      <c r="E93" s="624">
        <v>6000</v>
      </c>
      <c r="F93" s="604">
        <f t="shared" si="4"/>
        <v>36288</v>
      </c>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row>
    <row r="94" spans="1:433" s="2" customFormat="1" ht="16.5" x14ac:dyDescent="0.25">
      <c r="A94" s="620" t="s">
        <v>1120</v>
      </c>
      <c r="B94" s="605" t="s">
        <v>26</v>
      </c>
      <c r="C94" s="602" t="s">
        <v>950</v>
      </c>
      <c r="D94" s="603">
        <f>((1.8*1.8)-(0.6*0.6))*1.05</f>
        <v>3.0240000000000005</v>
      </c>
      <c r="E94" s="624">
        <v>5000</v>
      </c>
      <c r="F94" s="604">
        <f t="shared" si="4"/>
        <v>15120.000000000002</v>
      </c>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row>
    <row r="95" spans="1:433" s="2" customFormat="1" ht="28.5" x14ac:dyDescent="0.25">
      <c r="A95" s="620" t="s">
        <v>1121</v>
      </c>
      <c r="B95" s="605" t="s">
        <v>27</v>
      </c>
      <c r="C95" s="602" t="s">
        <v>950</v>
      </c>
      <c r="D95" s="603">
        <f>(1.6*2+1.2*2)*0.2*1.05</f>
        <v>1.1759999999999999</v>
      </c>
      <c r="E95" s="599">
        <v>3000</v>
      </c>
      <c r="F95" s="604">
        <f t="shared" si="4"/>
        <v>3528</v>
      </c>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row>
    <row r="96" spans="1:433" s="2" customFormat="1" ht="28.5" x14ac:dyDescent="0.25">
      <c r="A96" s="620" t="s">
        <v>1122</v>
      </c>
      <c r="B96" s="605" t="s">
        <v>28</v>
      </c>
      <c r="C96" s="602" t="s">
        <v>14</v>
      </c>
      <c r="D96" s="603">
        <v>1</v>
      </c>
      <c r="E96" s="599">
        <v>70000</v>
      </c>
      <c r="F96" s="604">
        <f t="shared" si="4"/>
        <v>70000</v>
      </c>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row>
    <row r="97" spans="1:433" ht="28.5" x14ac:dyDescent="0.25">
      <c r="A97" s="620" t="s">
        <v>1123</v>
      </c>
      <c r="B97" s="569" t="s">
        <v>45</v>
      </c>
      <c r="C97" s="602" t="s">
        <v>11</v>
      </c>
      <c r="D97" s="621">
        <v>1</v>
      </c>
      <c r="E97" s="599">
        <v>35000</v>
      </c>
      <c r="F97" s="604">
        <f t="shared" si="4"/>
        <v>35000</v>
      </c>
    </row>
    <row r="98" spans="1:433" ht="28.5" x14ac:dyDescent="0.25">
      <c r="A98" s="620" t="s">
        <v>1124</v>
      </c>
      <c r="B98" s="605" t="s">
        <v>1006</v>
      </c>
      <c r="C98" s="589" t="s">
        <v>190</v>
      </c>
      <c r="D98" s="621">
        <v>1</v>
      </c>
      <c r="E98" s="599">
        <v>300000</v>
      </c>
      <c r="F98" s="604">
        <f>E98*D98</f>
        <v>300000</v>
      </c>
    </row>
    <row r="99" spans="1:433" x14ac:dyDescent="0.25">
      <c r="A99" s="352"/>
      <c r="B99" s="353" t="s">
        <v>235</v>
      </c>
      <c r="C99" s="354"/>
      <c r="D99" s="355"/>
      <c r="E99" s="356"/>
      <c r="F99" s="357">
        <f>SUM(F88:F98)</f>
        <v>879237</v>
      </c>
    </row>
    <row r="100" spans="1:433" s="36" customFormat="1" x14ac:dyDescent="0.25">
      <c r="A100" s="358"/>
      <c r="B100" s="359" t="s">
        <v>846</v>
      </c>
      <c r="C100" s="360"/>
      <c r="D100" s="361" t="s">
        <v>642</v>
      </c>
      <c r="E100" s="362">
        <v>66</v>
      </c>
      <c r="F100" s="363">
        <f>F99*E100</f>
        <v>58029642</v>
      </c>
      <c r="G100" s="1"/>
      <c r="H100" s="1"/>
      <c r="I100" s="1"/>
      <c r="J100" s="1"/>
      <c r="K100" s="1"/>
      <c r="L100" s="1"/>
      <c r="M100" s="1"/>
      <c r="N100" s="1"/>
      <c r="O100" s="1"/>
      <c r="P100" s="1"/>
      <c r="Q100" s="1"/>
      <c r="R100" s="1"/>
      <c r="S100" s="1"/>
      <c r="T100" s="1"/>
      <c r="U100" s="1"/>
      <c r="V100" s="1"/>
      <c r="W100" s="1"/>
      <c r="X100" s="1"/>
      <c r="Y100" s="1"/>
      <c r="Z100" s="1"/>
      <c r="AA100" s="1"/>
      <c r="AB100" s="1"/>
    </row>
    <row r="101" spans="1:433" s="641" customFormat="1" x14ac:dyDescent="0.25">
      <c r="A101" s="657"/>
      <c r="B101" s="658"/>
      <c r="C101" s="659"/>
      <c r="D101" s="660"/>
      <c r="E101" s="661"/>
      <c r="F101" s="640"/>
    </row>
    <row r="102" spans="1:433" s="572" customFormat="1" ht="15" x14ac:dyDescent="0.25">
      <c r="A102" s="620"/>
      <c r="B102" s="625"/>
      <c r="C102" s="602"/>
      <c r="D102" s="621"/>
      <c r="E102" s="599"/>
      <c r="F102" s="626"/>
    </row>
    <row r="103" spans="1:433" s="2" customFormat="1" x14ac:dyDescent="0.25">
      <c r="A103" s="95"/>
      <c r="B103" s="96" t="s">
        <v>1125</v>
      </c>
      <c r="C103" s="97"/>
      <c r="D103" s="131"/>
      <c r="E103" s="320"/>
      <c r="F103" s="98" t="e">
        <f>SUM(#REF!,#REF!,#REF!,#REF!,F100,#REF!,F84,F67)</f>
        <v>#REF!</v>
      </c>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row>
    <row r="104" spans="1:433" s="572" customFormat="1" ht="15" x14ac:dyDescent="0.25">
      <c r="A104" s="620"/>
      <c r="B104" s="625"/>
      <c r="C104" s="602"/>
      <c r="D104" s="621"/>
      <c r="E104" s="599"/>
      <c r="F104" s="626"/>
    </row>
    <row r="105" spans="1:433" s="36" customFormat="1" x14ac:dyDescent="0.25">
      <c r="A105" s="132"/>
      <c r="B105" s="81"/>
      <c r="C105" s="81"/>
      <c r="D105" s="81"/>
      <c r="E105" s="81"/>
      <c r="F105" s="81"/>
      <c r="G105" s="1"/>
      <c r="H105" s="1"/>
      <c r="I105" s="1"/>
      <c r="J105" s="1"/>
      <c r="K105" s="1"/>
      <c r="L105" s="1"/>
      <c r="M105" s="1"/>
      <c r="N105" s="1"/>
      <c r="O105" s="1"/>
      <c r="P105" s="1"/>
      <c r="Q105" s="1"/>
      <c r="R105" s="1"/>
      <c r="S105" s="1"/>
      <c r="T105" s="1"/>
      <c r="U105" s="1"/>
      <c r="V105" s="1"/>
      <c r="W105" s="1"/>
      <c r="X105" s="1"/>
      <c r="Y105" s="1"/>
      <c r="Z105" s="1"/>
      <c r="AA105" s="1"/>
      <c r="AB105" s="1"/>
    </row>
    <row r="106" spans="1:433" s="104" customFormat="1" x14ac:dyDescent="0.25">
      <c r="A106" s="367">
        <v>3.2</v>
      </c>
      <c r="B106" s="845" t="s">
        <v>48</v>
      </c>
      <c r="C106" s="846"/>
      <c r="D106" s="846"/>
      <c r="E106" s="846"/>
      <c r="F106" s="847"/>
      <c r="G106" s="103"/>
    </row>
    <row r="107" spans="1:433" s="641" customFormat="1" x14ac:dyDescent="0.25">
      <c r="A107" s="635"/>
      <c r="B107" s="636"/>
      <c r="C107" s="637"/>
      <c r="D107" s="638"/>
      <c r="E107" s="639"/>
      <c r="F107" s="640"/>
    </row>
    <row r="108" spans="1:433" s="641" customFormat="1" x14ac:dyDescent="0.25">
      <c r="A108" s="646"/>
      <c r="B108" s="645"/>
      <c r="C108" s="646"/>
      <c r="D108" s="647"/>
      <c r="E108" s="648"/>
      <c r="F108" s="656"/>
    </row>
    <row r="109" spans="1:433" s="641" customFormat="1" ht="43.5" customHeight="1" x14ac:dyDescent="0.25">
      <c r="A109" s="655" t="s">
        <v>197</v>
      </c>
      <c r="B109" s="655" t="s">
        <v>1041</v>
      </c>
      <c r="C109" s="93"/>
      <c r="D109" s="93"/>
      <c r="E109" s="654"/>
      <c r="F109" s="654"/>
      <c r="H109" s="643"/>
    </row>
    <row r="110" spans="1:433" s="641" customFormat="1" x14ac:dyDescent="0.25">
      <c r="A110" s="93" t="s">
        <v>1007</v>
      </c>
      <c r="B110" s="93" t="s">
        <v>265</v>
      </c>
      <c r="C110" s="93" t="s">
        <v>71</v>
      </c>
      <c r="D110" s="93">
        <f>11.3*11.3*1.2*3.14/4</f>
        <v>120.28398000000001</v>
      </c>
      <c r="E110" s="654">
        <v>2500</v>
      </c>
      <c r="F110" s="654">
        <f>D110*E110</f>
        <v>300709.95</v>
      </c>
      <c r="H110" s="643"/>
    </row>
    <row r="111" spans="1:433" s="641" customFormat="1" x14ac:dyDescent="0.25">
      <c r="A111" s="93" t="s">
        <v>1009</v>
      </c>
      <c r="B111" s="93" t="s">
        <v>266</v>
      </c>
      <c r="C111" s="93" t="s">
        <v>71</v>
      </c>
      <c r="D111" s="93">
        <f>9.3*9.3*0.4*3.14/4</f>
        <v>27.157860000000003</v>
      </c>
      <c r="E111" s="654">
        <v>45000</v>
      </c>
      <c r="F111" s="654">
        <f t="shared" ref="F111:F121" si="5">D111*E111</f>
        <v>1222103.7000000002</v>
      </c>
      <c r="H111" s="643"/>
    </row>
    <row r="112" spans="1:433" s="641" customFormat="1" x14ac:dyDescent="0.25">
      <c r="A112" s="93" t="s">
        <v>1010</v>
      </c>
      <c r="B112" s="93" t="s">
        <v>267</v>
      </c>
      <c r="C112" s="93" t="s">
        <v>71</v>
      </c>
      <c r="D112" s="93">
        <f>9*9*0.05*3.14/4</f>
        <v>3.1792500000000001</v>
      </c>
      <c r="E112" s="654">
        <v>120000</v>
      </c>
      <c r="F112" s="654">
        <f t="shared" si="5"/>
        <v>381510</v>
      </c>
      <c r="H112" s="643"/>
    </row>
    <row r="113" spans="1:8" s="641" customFormat="1" x14ac:dyDescent="0.25">
      <c r="A113" s="93" t="s">
        <v>1011</v>
      </c>
      <c r="B113" s="93" t="s">
        <v>268</v>
      </c>
      <c r="C113" s="93" t="s">
        <v>71</v>
      </c>
      <c r="D113" s="93">
        <f>(8.8*8.8*0.2*3.14/4)+(7.9*7.9*0.07*3.14/4)</f>
        <v>15.587509500000003</v>
      </c>
      <c r="E113" s="654">
        <v>400000</v>
      </c>
      <c r="F113" s="654">
        <f t="shared" si="5"/>
        <v>6235003.8000000007</v>
      </c>
      <c r="H113" s="643"/>
    </row>
    <row r="114" spans="1:8" s="641" customFormat="1" x14ac:dyDescent="0.25">
      <c r="A114" s="93" t="s">
        <v>1012</v>
      </c>
      <c r="B114" s="93" t="s">
        <v>269</v>
      </c>
      <c r="C114" s="93" t="s">
        <v>71</v>
      </c>
      <c r="D114" s="93">
        <f>((8.5^2-8^2)/4)*3.14*2.5+(((8.8^2-8.5^2)/4)*3.14*0.3)</f>
        <v>17.412870000000005</v>
      </c>
      <c r="E114" s="654">
        <v>400000</v>
      </c>
      <c r="F114" s="654">
        <f t="shared" si="5"/>
        <v>6965148.0000000019</v>
      </c>
      <c r="H114" s="643"/>
    </row>
    <row r="115" spans="1:8" s="641" customFormat="1" x14ac:dyDescent="0.25">
      <c r="A115" s="93" t="s">
        <v>1013</v>
      </c>
      <c r="B115" s="93" t="s">
        <v>270</v>
      </c>
      <c r="C115" s="93" t="s">
        <v>71</v>
      </c>
      <c r="D115" s="93">
        <f>(0.2*0.2*2.5)+(0.2*0.2*8.5*2)</f>
        <v>0.78000000000000014</v>
      </c>
      <c r="E115" s="654">
        <v>400000</v>
      </c>
      <c r="F115" s="654">
        <f t="shared" si="5"/>
        <v>312000.00000000006</v>
      </c>
      <c r="H115" s="643"/>
    </row>
    <row r="116" spans="1:8" s="641" customFormat="1" x14ac:dyDescent="0.25">
      <c r="A116" s="93" t="s">
        <v>1014</v>
      </c>
      <c r="B116" s="93" t="s">
        <v>271</v>
      </c>
      <c r="C116" s="93" t="s">
        <v>71</v>
      </c>
      <c r="D116" s="93">
        <f>8.7*8.7*0.15*3.14/4</f>
        <v>8.9124974999999971</v>
      </c>
      <c r="E116" s="654">
        <v>400000</v>
      </c>
      <c r="F116" s="654">
        <f t="shared" si="5"/>
        <v>3564998.9999999986</v>
      </c>
      <c r="H116" s="643"/>
    </row>
    <row r="117" spans="1:8" s="641" customFormat="1" ht="31.5" x14ac:dyDescent="0.25">
      <c r="A117" s="93" t="s">
        <v>1016</v>
      </c>
      <c r="B117" s="93" t="s">
        <v>272</v>
      </c>
      <c r="C117" s="93" t="s">
        <v>72</v>
      </c>
      <c r="D117" s="93">
        <f>7.9*3.14*2.5*3</f>
        <v>186.04500000000002</v>
      </c>
      <c r="E117" s="654">
        <v>8000</v>
      </c>
      <c r="F117" s="654">
        <f t="shared" si="5"/>
        <v>1488360.0000000002</v>
      </c>
      <c r="H117" s="643"/>
    </row>
    <row r="118" spans="1:8" s="641" customFormat="1" ht="31.5" x14ac:dyDescent="0.25">
      <c r="A118" s="93" t="s">
        <v>1017</v>
      </c>
      <c r="B118" s="93" t="s">
        <v>273</v>
      </c>
      <c r="C118" s="93" t="s">
        <v>72</v>
      </c>
      <c r="D118" s="93">
        <f>8.5*3.14*2.5</f>
        <v>66.725000000000009</v>
      </c>
      <c r="E118" s="654">
        <v>5200</v>
      </c>
      <c r="F118" s="654">
        <f t="shared" si="5"/>
        <v>346970.00000000006</v>
      </c>
      <c r="H118" s="643"/>
    </row>
    <row r="119" spans="1:8" s="641" customFormat="1" ht="31.5" x14ac:dyDescent="0.25">
      <c r="A119" s="93" t="s">
        <v>1018</v>
      </c>
      <c r="B119" s="93" t="s">
        <v>274</v>
      </c>
      <c r="C119" s="93" t="s">
        <v>275</v>
      </c>
      <c r="D119" s="93">
        <v>2</v>
      </c>
      <c r="E119" s="654">
        <v>120000</v>
      </c>
      <c r="F119" s="654">
        <f t="shared" si="5"/>
        <v>240000</v>
      </c>
      <c r="H119" s="643"/>
    </row>
    <row r="120" spans="1:8" s="641" customFormat="1" ht="31.5" x14ac:dyDescent="0.25">
      <c r="A120" s="93" t="s">
        <v>1019</v>
      </c>
      <c r="B120" s="93" t="s">
        <v>276</v>
      </c>
      <c r="C120" s="93" t="s">
        <v>275</v>
      </c>
      <c r="D120" s="93">
        <v>1</v>
      </c>
      <c r="E120" s="654">
        <v>300000</v>
      </c>
      <c r="F120" s="654">
        <f t="shared" si="5"/>
        <v>300000</v>
      </c>
      <c r="H120" s="643"/>
    </row>
    <row r="121" spans="1:8" s="641" customFormat="1" ht="31.5" x14ac:dyDescent="0.25">
      <c r="A121" s="93" t="s">
        <v>1020</v>
      </c>
      <c r="B121" s="93" t="s">
        <v>277</v>
      </c>
      <c r="C121" s="93" t="s">
        <v>278</v>
      </c>
      <c r="D121" s="93">
        <v>1</v>
      </c>
      <c r="E121" s="654">
        <v>50000</v>
      </c>
      <c r="F121" s="654">
        <f t="shared" si="5"/>
        <v>50000</v>
      </c>
      <c r="H121" s="643"/>
    </row>
    <row r="122" spans="1:8" s="641" customFormat="1" x14ac:dyDescent="0.25">
      <c r="A122" s="93"/>
      <c r="B122" s="655" t="s">
        <v>279</v>
      </c>
      <c r="C122" s="93"/>
      <c r="D122" s="93"/>
      <c r="E122" s="654"/>
      <c r="F122" s="654"/>
      <c r="H122" s="643"/>
    </row>
    <row r="123" spans="1:8" s="641" customFormat="1" ht="31.5" x14ac:dyDescent="0.25">
      <c r="A123" s="93" t="s">
        <v>1021</v>
      </c>
      <c r="B123" s="93" t="s">
        <v>265</v>
      </c>
      <c r="C123" s="93" t="s">
        <v>71</v>
      </c>
      <c r="D123" s="93">
        <f>3.8*3.8*1.6</f>
        <v>23.103999999999999</v>
      </c>
      <c r="E123" s="654">
        <v>2500</v>
      </c>
      <c r="F123" s="654">
        <f t="shared" ref="F123:F129" si="6">E123*D123</f>
        <v>57760</v>
      </c>
      <c r="H123" s="643"/>
    </row>
    <row r="124" spans="1:8" s="641" customFormat="1" ht="31.5" x14ac:dyDescent="0.25">
      <c r="A124" s="93" t="s">
        <v>1022</v>
      </c>
      <c r="B124" s="93" t="s">
        <v>280</v>
      </c>
      <c r="C124" s="93" t="s">
        <v>71</v>
      </c>
      <c r="D124" s="93">
        <f>2.8*2.8*0.2</f>
        <v>1.5679999999999998</v>
      </c>
      <c r="E124" s="654">
        <v>45000</v>
      </c>
      <c r="F124" s="654">
        <f t="shared" si="6"/>
        <v>70560</v>
      </c>
      <c r="H124" s="643"/>
    </row>
    <row r="125" spans="1:8" s="641" customFormat="1" ht="31.5" x14ac:dyDescent="0.25">
      <c r="A125" s="93" t="s">
        <v>1023</v>
      </c>
      <c r="B125" s="93" t="s">
        <v>267</v>
      </c>
      <c r="C125" s="93" t="s">
        <v>71</v>
      </c>
      <c r="D125" s="93">
        <f>2.8*2.8*0.05</f>
        <v>0.39199999999999996</v>
      </c>
      <c r="E125" s="654">
        <v>120000</v>
      </c>
      <c r="F125" s="654">
        <f t="shared" si="6"/>
        <v>47039.999999999993</v>
      </c>
      <c r="H125" s="643"/>
    </row>
    <row r="126" spans="1:8" s="641" customFormat="1" ht="31.5" x14ac:dyDescent="0.25">
      <c r="A126" s="93" t="s">
        <v>1024</v>
      </c>
      <c r="B126" s="93" t="s">
        <v>268</v>
      </c>
      <c r="C126" s="93" t="s">
        <v>71</v>
      </c>
      <c r="D126" s="93">
        <f>2.6*2.6*0.1</f>
        <v>0.67600000000000016</v>
      </c>
      <c r="E126" s="654">
        <v>400000</v>
      </c>
      <c r="F126" s="654">
        <f t="shared" si="6"/>
        <v>270400.00000000006</v>
      </c>
      <c r="H126" s="643"/>
    </row>
    <row r="127" spans="1:8" s="641" customFormat="1" ht="31.5" x14ac:dyDescent="0.25">
      <c r="A127" s="93" t="s">
        <v>1025</v>
      </c>
      <c r="B127" s="93" t="s">
        <v>281</v>
      </c>
      <c r="C127" s="93" t="s">
        <v>71</v>
      </c>
      <c r="D127" s="93">
        <f>2.6*4*0.3*1.2</f>
        <v>3.7439999999999998</v>
      </c>
      <c r="E127" s="654">
        <v>90000</v>
      </c>
      <c r="F127" s="654">
        <f t="shared" si="6"/>
        <v>336960</v>
      </c>
      <c r="H127" s="643"/>
    </row>
    <row r="128" spans="1:8" s="641" customFormat="1" ht="31.5" x14ac:dyDescent="0.25">
      <c r="A128" s="93" t="s">
        <v>1026</v>
      </c>
      <c r="B128" s="93" t="s">
        <v>271</v>
      </c>
      <c r="C128" s="93" t="s">
        <v>71</v>
      </c>
      <c r="D128" s="93">
        <f>2.8*2.8*0.1</f>
        <v>0.78399999999999992</v>
      </c>
      <c r="E128" s="654">
        <v>400000</v>
      </c>
      <c r="F128" s="654">
        <f t="shared" si="6"/>
        <v>313599.99999999994</v>
      </c>
      <c r="H128" s="643"/>
    </row>
    <row r="129" spans="1:28" s="641" customFormat="1" ht="31.5" x14ac:dyDescent="0.25">
      <c r="A129" s="93" t="s">
        <v>1027</v>
      </c>
      <c r="B129" s="93" t="s">
        <v>282</v>
      </c>
      <c r="C129" s="93" t="s">
        <v>283</v>
      </c>
      <c r="D129" s="93">
        <f>2*4*1.2</f>
        <v>9.6</v>
      </c>
      <c r="E129" s="654">
        <v>5200</v>
      </c>
      <c r="F129" s="654">
        <f t="shared" si="6"/>
        <v>49920</v>
      </c>
      <c r="H129" s="643"/>
    </row>
    <row r="130" spans="1:28" s="641" customFormat="1" ht="31.5" x14ac:dyDescent="0.25">
      <c r="A130" s="93" t="s">
        <v>1028</v>
      </c>
      <c r="B130" s="93" t="s">
        <v>284</v>
      </c>
      <c r="C130" s="93" t="s">
        <v>283</v>
      </c>
      <c r="D130" s="93">
        <f>2.6*4*1.2</f>
        <v>12.48</v>
      </c>
      <c r="E130" s="654">
        <v>3500</v>
      </c>
      <c r="F130" s="654">
        <f>E130*D130</f>
        <v>43680</v>
      </c>
      <c r="H130" s="643"/>
    </row>
    <row r="131" spans="1:28" s="641" customFormat="1" ht="31.5" x14ac:dyDescent="0.25">
      <c r="A131" s="93" t="s">
        <v>1029</v>
      </c>
      <c r="B131" s="93" t="s">
        <v>285</v>
      </c>
      <c r="C131" s="93" t="s">
        <v>286</v>
      </c>
      <c r="D131" s="93">
        <v>1</v>
      </c>
      <c r="E131" s="654">
        <v>100000</v>
      </c>
      <c r="F131" s="654">
        <f>E131*D131</f>
        <v>100000</v>
      </c>
      <c r="H131" s="643"/>
    </row>
    <row r="132" spans="1:28" s="641" customFormat="1" x14ac:dyDescent="0.25">
      <c r="A132" s="93"/>
      <c r="B132" s="655" t="s">
        <v>287</v>
      </c>
      <c r="C132" s="93"/>
      <c r="D132" s="93"/>
      <c r="E132" s="654"/>
      <c r="F132" s="654"/>
      <c r="H132" s="643"/>
    </row>
    <row r="133" spans="1:28" s="641" customFormat="1" ht="31.5" x14ac:dyDescent="0.25">
      <c r="A133" s="93" t="s">
        <v>1030</v>
      </c>
      <c r="B133" s="93" t="s">
        <v>16</v>
      </c>
      <c r="C133" s="93" t="s">
        <v>1008</v>
      </c>
      <c r="D133" s="93">
        <f xml:space="preserve"> (1+0.8)*(1+1.2)*1*0.6</f>
        <v>2.3760000000000003</v>
      </c>
      <c r="E133" s="654">
        <v>2500</v>
      </c>
      <c r="F133" s="654">
        <f t="shared" ref="F133:F139" si="7">D133*E133</f>
        <v>5940.0000000000009</v>
      </c>
      <c r="H133" s="643"/>
    </row>
    <row r="134" spans="1:28" s="641" customFormat="1" ht="31.5" x14ac:dyDescent="0.25">
      <c r="A134" s="93" t="s">
        <v>1031</v>
      </c>
      <c r="B134" s="93" t="s">
        <v>289</v>
      </c>
      <c r="C134" s="93" t="s">
        <v>1008</v>
      </c>
      <c r="D134" s="93">
        <f>1.2*0.8*0.2</f>
        <v>0.192</v>
      </c>
      <c r="E134" s="654">
        <v>70000</v>
      </c>
      <c r="F134" s="654">
        <f t="shared" si="7"/>
        <v>13440</v>
      </c>
      <c r="H134" s="643"/>
    </row>
    <row r="135" spans="1:28" s="641" customFormat="1" ht="31.5" x14ac:dyDescent="0.25">
      <c r="A135" s="93" t="s">
        <v>1032</v>
      </c>
      <c r="B135" s="93" t="s">
        <v>18</v>
      </c>
      <c r="C135" s="93" t="s">
        <v>1008</v>
      </c>
      <c r="D135" s="93">
        <f>1.2*0.8*0.05</f>
        <v>4.8000000000000001E-2</v>
      </c>
      <c r="E135" s="654">
        <v>120000</v>
      </c>
      <c r="F135" s="654">
        <f t="shared" si="7"/>
        <v>5760</v>
      </c>
      <c r="H135" s="643"/>
    </row>
    <row r="136" spans="1:28" s="641" customFormat="1" ht="31.5" x14ac:dyDescent="0.25">
      <c r="A136" s="93" t="s">
        <v>1033</v>
      </c>
      <c r="B136" s="93" t="s">
        <v>47</v>
      </c>
      <c r="C136" s="93" t="s">
        <v>1008</v>
      </c>
      <c r="D136" s="93">
        <f>D135/0.05*0.1*1.05</f>
        <v>0.1008</v>
      </c>
      <c r="E136" s="654">
        <v>400000</v>
      </c>
      <c r="F136" s="654">
        <f t="shared" si="7"/>
        <v>40320</v>
      </c>
      <c r="H136" s="643"/>
    </row>
    <row r="137" spans="1:28" s="641" customFormat="1" ht="31.5" x14ac:dyDescent="0.25">
      <c r="A137" s="93" t="s">
        <v>1034</v>
      </c>
      <c r="B137" s="93" t="s">
        <v>290</v>
      </c>
      <c r="C137" s="93" t="s">
        <v>1008</v>
      </c>
      <c r="D137" s="93">
        <f>2.8*0.6*0.3</f>
        <v>0.504</v>
      </c>
      <c r="E137" s="654">
        <v>90000</v>
      </c>
      <c r="F137" s="654">
        <f t="shared" si="7"/>
        <v>45360</v>
      </c>
      <c r="H137" s="643"/>
    </row>
    <row r="138" spans="1:28" s="641" customFormat="1" ht="31.5" x14ac:dyDescent="0.25">
      <c r="A138" s="93" t="s">
        <v>1035</v>
      </c>
      <c r="B138" s="93" t="s">
        <v>1038</v>
      </c>
      <c r="C138" s="93" t="s">
        <v>1015</v>
      </c>
      <c r="D138" s="93">
        <f>2.8*0.6</f>
        <v>1.68</v>
      </c>
      <c r="E138" s="654">
        <v>5200</v>
      </c>
      <c r="F138" s="654">
        <f t="shared" si="7"/>
        <v>8736</v>
      </c>
      <c r="H138" s="643"/>
    </row>
    <row r="139" spans="1:28" s="641" customFormat="1" ht="31.5" x14ac:dyDescent="0.25">
      <c r="A139" s="93" t="s">
        <v>1036</v>
      </c>
      <c r="B139" s="93" t="s">
        <v>1039</v>
      </c>
      <c r="C139" s="93" t="s">
        <v>190</v>
      </c>
      <c r="D139" s="93">
        <v>1</v>
      </c>
      <c r="E139" s="654">
        <v>36000</v>
      </c>
      <c r="F139" s="654">
        <f t="shared" si="7"/>
        <v>36000</v>
      </c>
      <c r="H139" s="643"/>
    </row>
    <row r="140" spans="1:28" s="641" customFormat="1" ht="34.5" x14ac:dyDescent="0.25">
      <c r="A140" s="93" t="s">
        <v>1037</v>
      </c>
      <c r="B140" s="93" t="s">
        <v>1042</v>
      </c>
      <c r="C140" s="93" t="s">
        <v>278</v>
      </c>
      <c r="D140" s="93">
        <v>1</v>
      </c>
      <c r="E140" s="654">
        <v>12000000</v>
      </c>
      <c r="F140" s="654">
        <f>D140*E140</f>
        <v>12000000</v>
      </c>
      <c r="H140" s="643"/>
    </row>
    <row r="141" spans="1:28" s="36" customFormat="1" ht="18.75" x14ac:dyDescent="0.25">
      <c r="A141" s="358"/>
      <c r="B141" s="359" t="s">
        <v>1043</v>
      </c>
      <c r="C141" s="360"/>
      <c r="D141" s="361" t="s">
        <v>642</v>
      </c>
      <c r="E141" s="362"/>
      <c r="F141" s="363">
        <f>SUM(F110:F140)</f>
        <v>34852280.450000003</v>
      </c>
      <c r="G141" s="1"/>
      <c r="H141" s="1"/>
      <c r="I141" s="1"/>
      <c r="J141" s="1"/>
      <c r="K141" s="1"/>
      <c r="L141" s="1"/>
      <c r="M141" s="1"/>
      <c r="N141" s="1"/>
      <c r="O141" s="1"/>
      <c r="P141" s="1"/>
      <c r="Q141" s="1"/>
      <c r="R141" s="1"/>
      <c r="S141" s="1"/>
      <c r="T141" s="1"/>
      <c r="U141" s="1"/>
      <c r="V141" s="1"/>
      <c r="W141" s="1"/>
      <c r="X141" s="1"/>
      <c r="Y141" s="1"/>
      <c r="Z141" s="1"/>
      <c r="AA141" s="1"/>
      <c r="AB141" s="1"/>
    </row>
    <row r="142" spans="1:28" customFormat="1" ht="15" x14ac:dyDescent="0.25"/>
    <row r="143" spans="1:28" customFormat="1" ht="15" x14ac:dyDescent="0.25"/>
    <row r="144" spans="1:28" s="104" customFormat="1" x14ac:dyDescent="0.25">
      <c r="A144" s="367">
        <v>3.3</v>
      </c>
      <c r="B144" s="845" t="s">
        <v>1001</v>
      </c>
      <c r="C144" s="846"/>
      <c r="D144" s="846"/>
      <c r="E144" s="846"/>
      <c r="F144" s="847"/>
      <c r="G144" s="103"/>
    </row>
    <row r="145" spans="1:28" s="572" customFormat="1" ht="15" x14ac:dyDescent="0.25">
      <c r="A145" s="192"/>
      <c r="B145" s="627"/>
      <c r="C145" s="628"/>
      <c r="D145" s="629"/>
      <c r="E145" s="630"/>
      <c r="F145" s="592"/>
    </row>
    <row r="146" spans="1:28" s="572" customFormat="1" ht="33" customHeight="1" x14ac:dyDescent="0.25">
      <c r="A146" s="587" t="s">
        <v>1126</v>
      </c>
      <c r="B146" s="588" t="s">
        <v>1002</v>
      </c>
      <c r="C146" s="589"/>
      <c r="D146" s="590"/>
      <c r="E146" s="591"/>
      <c r="F146" s="592"/>
    </row>
    <row r="147" spans="1:28" s="572" customFormat="1" ht="28.5" x14ac:dyDescent="0.25">
      <c r="A147" s="620" t="s">
        <v>1127</v>
      </c>
      <c r="B147" s="605" t="s">
        <v>34</v>
      </c>
      <c r="C147" s="602" t="s">
        <v>951</v>
      </c>
      <c r="D147" s="621">
        <f xml:space="preserve"> (1+5.7)*(1+5.4)*0.5*1.05</f>
        <v>22.512000000000004</v>
      </c>
      <c r="E147" s="599">
        <v>2000</v>
      </c>
      <c r="F147" s="604">
        <f t="shared" ref="F147:F158" si="8">D147*E147</f>
        <v>45024.000000000007</v>
      </c>
    </row>
    <row r="148" spans="1:28" s="572" customFormat="1" ht="28.5" x14ac:dyDescent="0.25">
      <c r="A148" s="620" t="s">
        <v>1128</v>
      </c>
      <c r="B148" s="605" t="s">
        <v>35</v>
      </c>
      <c r="C148" s="602" t="s">
        <v>951</v>
      </c>
      <c r="D148" s="621">
        <f>((5.2*3.4)-2*((0.7*0.5)+(1.5*1.05))  )*0.15*1.05</f>
        <v>2.1782249999999999</v>
      </c>
      <c r="E148" s="599">
        <v>30000</v>
      </c>
      <c r="F148" s="604">
        <f t="shared" si="8"/>
        <v>65346.749999999993</v>
      </c>
    </row>
    <row r="149" spans="1:28" s="572" customFormat="1" ht="16.5" x14ac:dyDescent="0.25">
      <c r="A149" s="620" t="s">
        <v>1129</v>
      </c>
      <c r="B149" s="605" t="s">
        <v>18</v>
      </c>
      <c r="C149" s="602" t="s">
        <v>951</v>
      </c>
      <c r="D149" s="621">
        <f>D148/0.3*0.05*1.05</f>
        <v>0.38118937500000005</v>
      </c>
      <c r="E149" s="599">
        <v>130000</v>
      </c>
      <c r="F149" s="604">
        <f t="shared" si="8"/>
        <v>49554.618750000009</v>
      </c>
    </row>
    <row r="150" spans="1:28" s="572" customFormat="1" ht="16.5" x14ac:dyDescent="0.25">
      <c r="A150" s="620" t="s">
        <v>1130</v>
      </c>
      <c r="B150" s="605" t="s">
        <v>36</v>
      </c>
      <c r="C150" s="602" t="s">
        <v>951</v>
      </c>
      <c r="D150" s="621">
        <f>((3.7-0.2)*(3.4-0.2)-2*(0.7*0.5)  )*0.1*1.05</f>
        <v>1.1025</v>
      </c>
      <c r="E150" s="599">
        <v>400000</v>
      </c>
      <c r="F150" s="604">
        <f t="shared" si="8"/>
        <v>441000</v>
      </c>
    </row>
    <row r="151" spans="1:28" s="572" customFormat="1" ht="16.5" x14ac:dyDescent="0.25">
      <c r="A151" s="620" t="s">
        <v>1131</v>
      </c>
      <c r="B151" s="605" t="s">
        <v>51</v>
      </c>
      <c r="C151" s="602" t="s">
        <v>951</v>
      </c>
      <c r="D151" s="590">
        <f xml:space="preserve"> ((0.9)*(1)*0.1  -  (0.5*0.5)*0.1)*1.05</f>
        <v>6.8250000000000005E-2</v>
      </c>
      <c r="E151" s="599">
        <v>400000</v>
      </c>
      <c r="F151" s="604">
        <f t="shared" si="8"/>
        <v>27300.000000000004</v>
      </c>
    </row>
    <row r="152" spans="1:28" s="572" customFormat="1" ht="16.5" x14ac:dyDescent="0.25">
      <c r="A152" s="620" t="s">
        <v>1132</v>
      </c>
      <c r="B152" s="605" t="s">
        <v>38</v>
      </c>
      <c r="C152" s="602" t="s">
        <v>951</v>
      </c>
      <c r="D152" s="621">
        <f>( 0.2*(2*(1.7+1)*0.7+ (1*0.7) +((1.9+2)*2+0.7*2)*0.1*0.2 ))*1.05</f>
        <v>0.97943999999999998</v>
      </c>
      <c r="E152" s="599">
        <v>90000</v>
      </c>
      <c r="F152" s="604">
        <f t="shared" si="8"/>
        <v>88149.599999999991</v>
      </c>
    </row>
    <row r="153" spans="1:28" s="572" customFormat="1" ht="16.5" x14ac:dyDescent="0.25">
      <c r="A153" s="620" t="s">
        <v>1133</v>
      </c>
      <c r="B153" s="605" t="s">
        <v>1003</v>
      </c>
      <c r="C153" s="602" t="s">
        <v>950</v>
      </c>
      <c r="D153" s="621">
        <f>(2*(1.7*1)*0.7+  2*(1.2*0.7)+((1.9+2)*2+0.7*2))*1.05</f>
        <v>13.922999999999998</v>
      </c>
      <c r="E153" s="599">
        <v>6000</v>
      </c>
      <c r="F153" s="604">
        <f t="shared" si="8"/>
        <v>83537.999999999985</v>
      </c>
    </row>
    <row r="154" spans="1:28" s="572" customFormat="1" ht="16.5" x14ac:dyDescent="0.25">
      <c r="A154" s="620" t="s">
        <v>1134</v>
      </c>
      <c r="B154" s="605" t="s">
        <v>22</v>
      </c>
      <c r="C154" s="602" t="s">
        <v>950</v>
      </c>
      <c r="D154" s="621">
        <f>0.1*(1)*1*1.05</f>
        <v>0.10500000000000001</v>
      </c>
      <c r="E154" s="599">
        <v>5000</v>
      </c>
      <c r="F154" s="604">
        <f t="shared" si="8"/>
        <v>525</v>
      </c>
    </row>
    <row r="155" spans="1:28" s="572" customFormat="1" ht="28.5" x14ac:dyDescent="0.25">
      <c r="A155" s="620" t="s">
        <v>1135</v>
      </c>
      <c r="B155" s="605" t="s">
        <v>52</v>
      </c>
      <c r="C155" s="602" t="s">
        <v>950</v>
      </c>
      <c r="D155" s="621">
        <f>(1+0.9*2)*0.2*1.05</f>
        <v>0.58799999999999997</v>
      </c>
      <c r="E155" s="599">
        <v>3000</v>
      </c>
      <c r="F155" s="604">
        <f t="shared" si="8"/>
        <v>1764</v>
      </c>
    </row>
    <row r="156" spans="1:28" s="572" customFormat="1" ht="14.25" x14ac:dyDescent="0.25">
      <c r="A156" s="620" t="s">
        <v>1136</v>
      </c>
      <c r="B156" s="605" t="s">
        <v>53</v>
      </c>
      <c r="C156" s="602" t="s">
        <v>14</v>
      </c>
      <c r="D156" s="621">
        <v>1</v>
      </c>
      <c r="E156" s="599">
        <v>55000</v>
      </c>
      <c r="F156" s="604">
        <f t="shared" si="8"/>
        <v>55000</v>
      </c>
    </row>
    <row r="157" spans="1:28" s="572" customFormat="1" ht="42.75" x14ac:dyDescent="0.25">
      <c r="A157" s="620" t="s">
        <v>1137</v>
      </c>
      <c r="B157" s="605" t="s">
        <v>1004</v>
      </c>
      <c r="C157" s="589" t="s">
        <v>190</v>
      </c>
      <c r="D157" s="621">
        <v>1</v>
      </c>
      <c r="E157" s="599">
        <v>350000</v>
      </c>
      <c r="F157" s="604">
        <f t="shared" si="8"/>
        <v>350000</v>
      </c>
    </row>
    <row r="158" spans="1:28" s="572" customFormat="1" ht="16.5" x14ac:dyDescent="0.25">
      <c r="A158" s="620" t="s">
        <v>1138</v>
      </c>
      <c r="B158" s="605" t="s">
        <v>1000</v>
      </c>
      <c r="C158" s="589" t="s">
        <v>190</v>
      </c>
      <c r="D158" s="621">
        <v>1</v>
      </c>
      <c r="E158" s="599">
        <v>50000</v>
      </c>
      <c r="F158" s="604">
        <f t="shared" si="8"/>
        <v>50000</v>
      </c>
    </row>
    <row r="159" spans="1:28" x14ac:dyDescent="0.25">
      <c r="A159" s="352"/>
      <c r="B159" s="353" t="s">
        <v>1139</v>
      </c>
      <c r="C159" s="354"/>
      <c r="D159" s="355"/>
      <c r="E159" s="356"/>
      <c r="F159" s="357">
        <f>SUM(F147:F158)</f>
        <v>1257201.96875</v>
      </c>
    </row>
    <row r="160" spans="1:28" s="36" customFormat="1" x14ac:dyDescent="0.25">
      <c r="A160" s="358"/>
      <c r="B160" s="359" t="s">
        <v>1140</v>
      </c>
      <c r="C160" s="360"/>
      <c r="D160" s="361" t="s">
        <v>642</v>
      </c>
      <c r="E160" s="362">
        <v>2</v>
      </c>
      <c r="F160" s="363">
        <f>F159*E160</f>
        <v>2514403.9375</v>
      </c>
      <c r="G160" s="1"/>
      <c r="H160" s="1"/>
      <c r="I160" s="1"/>
      <c r="J160" s="1"/>
      <c r="K160" s="1"/>
      <c r="L160" s="1"/>
      <c r="M160" s="1"/>
      <c r="N160" s="1"/>
      <c r="O160" s="1"/>
      <c r="P160" s="1"/>
      <c r="Q160" s="1"/>
      <c r="R160" s="1"/>
      <c r="S160" s="1"/>
      <c r="T160" s="1"/>
      <c r="U160" s="1"/>
      <c r="V160" s="1"/>
      <c r="W160" s="1"/>
      <c r="X160" s="1"/>
      <c r="Y160" s="1"/>
      <c r="Z160" s="1"/>
      <c r="AA160" s="1"/>
      <c r="AB160" s="1"/>
    </row>
    <row r="161" spans="1:6" customFormat="1" ht="15" x14ac:dyDescent="0.25"/>
    <row r="162" spans="1:6" s="572" customFormat="1" ht="33" customHeight="1" x14ac:dyDescent="0.25">
      <c r="A162" s="587" t="s">
        <v>1142</v>
      </c>
      <c r="B162" s="588" t="s">
        <v>883</v>
      </c>
      <c r="C162" s="589"/>
      <c r="D162" s="590"/>
      <c r="E162" s="591"/>
      <c r="F162" s="592"/>
    </row>
    <row r="163" spans="1:6" s="559" customFormat="1" x14ac:dyDescent="0.25">
      <c r="A163" s="557" t="s">
        <v>1143</v>
      </c>
      <c r="B163" s="557" t="s">
        <v>884</v>
      </c>
      <c r="C163" s="552"/>
      <c r="D163" s="552"/>
      <c r="E163" s="552"/>
      <c r="F163" s="558"/>
    </row>
    <row r="164" spans="1:6" s="559" customFormat="1" ht="18" x14ac:dyDescent="0.25">
      <c r="A164" s="552"/>
      <c r="B164" s="552" t="s">
        <v>885</v>
      </c>
      <c r="C164" s="552" t="s">
        <v>886</v>
      </c>
      <c r="D164" s="552">
        <f>(1+3.6)*(1+4.2)*1.2*1.05</f>
        <v>30.139199999999999</v>
      </c>
      <c r="E164" s="552">
        <v>2500</v>
      </c>
      <c r="F164" s="558">
        <f>D164*E164</f>
        <v>75348</v>
      </c>
    </row>
    <row r="165" spans="1:6" s="559" customFormat="1" x14ac:dyDescent="0.25">
      <c r="A165" s="557" t="s">
        <v>1144</v>
      </c>
      <c r="B165" s="557" t="s">
        <v>887</v>
      </c>
      <c r="C165" s="552"/>
      <c r="D165" s="552"/>
      <c r="E165" s="552"/>
      <c r="F165" s="558"/>
    </row>
    <row r="166" spans="1:6" s="559" customFormat="1" ht="18" x14ac:dyDescent="0.25">
      <c r="A166" s="552"/>
      <c r="B166" s="552" t="s">
        <v>888</v>
      </c>
      <c r="C166" s="552" t="s">
        <v>886</v>
      </c>
      <c r="D166" s="552">
        <f>(2*(3.6+4.2)+3.2+1.8)*0.4*1*1.05</f>
        <v>8.652000000000001</v>
      </c>
      <c r="E166" s="552">
        <v>2500</v>
      </c>
      <c r="F166" s="558">
        <f>D166*E166</f>
        <v>21630.000000000004</v>
      </c>
    </row>
    <row r="167" spans="1:6" s="559" customFormat="1" ht="18" x14ac:dyDescent="0.25">
      <c r="A167" s="552"/>
      <c r="B167" s="552" t="s">
        <v>545</v>
      </c>
      <c r="C167" s="552" t="s">
        <v>886</v>
      </c>
      <c r="D167" s="552">
        <f>20.6*0.5*0.06*1.05</f>
        <v>0.64890000000000003</v>
      </c>
      <c r="E167" s="552">
        <v>90000</v>
      </c>
      <c r="F167" s="558">
        <f>D167*E167</f>
        <v>58401</v>
      </c>
    </row>
    <row r="168" spans="1:6" s="559" customFormat="1" ht="18" x14ac:dyDescent="0.25">
      <c r="A168" s="552"/>
      <c r="B168" s="552" t="s">
        <v>889</v>
      </c>
      <c r="C168" s="552" t="s">
        <v>886</v>
      </c>
      <c r="D168" s="552">
        <f>20.6*0.4*1*1.05</f>
        <v>8.652000000000001</v>
      </c>
      <c r="E168" s="552">
        <v>80000</v>
      </c>
      <c r="F168" s="558">
        <f>D168*E168</f>
        <v>692160.00000000012</v>
      </c>
    </row>
    <row r="169" spans="1:6" s="559" customFormat="1" ht="18" x14ac:dyDescent="0.25">
      <c r="A169" s="552"/>
      <c r="B169" s="552" t="s">
        <v>890</v>
      </c>
      <c r="C169" s="552" t="s">
        <v>891</v>
      </c>
      <c r="D169" s="552">
        <f>20.6*0.5*1.05</f>
        <v>10.815000000000001</v>
      </c>
      <c r="E169" s="552">
        <v>5000</v>
      </c>
      <c r="F169" s="558">
        <f>D169*E169</f>
        <v>54075.000000000007</v>
      </c>
    </row>
    <row r="170" spans="1:6" s="559" customFormat="1" x14ac:dyDescent="0.25">
      <c r="A170" s="552"/>
      <c r="B170" s="552" t="s">
        <v>892</v>
      </c>
      <c r="C170" s="552" t="s">
        <v>11</v>
      </c>
      <c r="D170" s="552">
        <f>20.6*0.2*1.05</f>
        <v>4.3260000000000005</v>
      </c>
      <c r="E170" s="552">
        <v>1000</v>
      </c>
      <c r="F170" s="558">
        <f>D170*E170</f>
        <v>4326.0000000000009</v>
      </c>
    </row>
    <row r="171" spans="1:6" s="559" customFormat="1" x14ac:dyDescent="0.25">
      <c r="A171" s="557" t="s">
        <v>1145</v>
      </c>
      <c r="B171" s="557" t="s">
        <v>893</v>
      </c>
      <c r="C171" s="552"/>
      <c r="D171" s="552"/>
      <c r="E171" s="552"/>
      <c r="F171" s="558"/>
    </row>
    <row r="172" spans="1:6" s="559" customFormat="1" ht="18" x14ac:dyDescent="0.25">
      <c r="A172" s="552"/>
      <c r="B172" s="552" t="s">
        <v>894</v>
      </c>
      <c r="C172" s="552" t="s">
        <v>886</v>
      </c>
      <c r="D172" s="552">
        <f>0.2*(3.6*2+1.8*3)*2.8-(+D175+D185*0.2*0.9*2.1+D186*2.1*0.9+D187*0.2*1.2*1.2)*1.05</f>
        <v>3.5009100000000006</v>
      </c>
      <c r="E172" s="552">
        <v>80000</v>
      </c>
      <c r="F172" s="558">
        <f>D172*E172</f>
        <v>280072.80000000005</v>
      </c>
    </row>
    <row r="173" spans="1:6" s="559" customFormat="1" ht="18" x14ac:dyDescent="0.25">
      <c r="A173" s="552"/>
      <c r="B173" s="552" t="s">
        <v>895</v>
      </c>
      <c r="C173" s="552" t="s">
        <v>891</v>
      </c>
      <c r="D173" s="552">
        <f>(0.2*0.2)*8*1.05</f>
        <v>0.33600000000000008</v>
      </c>
      <c r="E173" s="552">
        <v>21000</v>
      </c>
      <c r="F173" s="558">
        <f>D173*E173</f>
        <v>7056.0000000000018</v>
      </c>
    </row>
    <row r="174" spans="1:6" s="559" customFormat="1" x14ac:dyDescent="0.25">
      <c r="A174" s="557" t="s">
        <v>1146</v>
      </c>
      <c r="B174" s="557" t="s">
        <v>896</v>
      </c>
      <c r="C174" s="552"/>
      <c r="D174" s="552"/>
      <c r="E174" s="552"/>
      <c r="F174" s="558"/>
    </row>
    <row r="175" spans="1:6" s="559" customFormat="1" ht="18" x14ac:dyDescent="0.25">
      <c r="A175" s="552"/>
      <c r="B175" s="552" t="s">
        <v>513</v>
      </c>
      <c r="C175" s="552" t="s">
        <v>886</v>
      </c>
      <c r="D175" s="552">
        <f>(3.6*2+1.9*3)*0.2*0.2*1.05</f>
        <v>0.54180000000000006</v>
      </c>
      <c r="E175" s="552">
        <v>350000</v>
      </c>
      <c r="F175" s="558">
        <f>D175*E175</f>
        <v>189630.00000000003</v>
      </c>
    </row>
    <row r="176" spans="1:6" s="559" customFormat="1" x14ac:dyDescent="0.25">
      <c r="A176" s="557" t="s">
        <v>1147</v>
      </c>
      <c r="B176" s="557" t="s">
        <v>897</v>
      </c>
      <c r="C176" s="552"/>
      <c r="D176" s="552"/>
      <c r="E176" s="552"/>
      <c r="F176" s="558"/>
    </row>
    <row r="177" spans="1:6" s="559" customFormat="1" x14ac:dyDescent="0.25">
      <c r="A177" s="552"/>
      <c r="B177" s="552" t="s">
        <v>898</v>
      </c>
      <c r="C177" s="552" t="s">
        <v>11</v>
      </c>
      <c r="D177" s="552">
        <v>18</v>
      </c>
      <c r="E177" s="552">
        <v>1500</v>
      </c>
      <c r="F177" s="558">
        <f>D177*E177</f>
        <v>27000</v>
      </c>
    </row>
    <row r="178" spans="1:6" s="559" customFormat="1" x14ac:dyDescent="0.25">
      <c r="A178" s="552"/>
      <c r="B178" s="552" t="s">
        <v>899</v>
      </c>
      <c r="C178" s="552" t="s">
        <v>11</v>
      </c>
      <c r="D178" s="552">
        <v>27.599999999999998</v>
      </c>
      <c r="E178" s="552">
        <v>900</v>
      </c>
      <c r="F178" s="558">
        <f>D178*E178</f>
        <v>24839.999999999996</v>
      </c>
    </row>
    <row r="179" spans="1:6" s="559" customFormat="1" x14ac:dyDescent="0.25">
      <c r="A179" s="552"/>
      <c r="B179" s="552" t="s">
        <v>900</v>
      </c>
      <c r="C179" s="552" t="s">
        <v>11</v>
      </c>
      <c r="D179" s="552">
        <v>240</v>
      </c>
      <c r="E179" s="552">
        <v>500</v>
      </c>
      <c r="F179" s="558">
        <f>D179*E179</f>
        <v>120000</v>
      </c>
    </row>
    <row r="180" spans="1:6" s="559" customFormat="1" x14ac:dyDescent="0.25">
      <c r="A180" s="552"/>
      <c r="B180" s="552" t="s">
        <v>901</v>
      </c>
      <c r="C180" s="552" t="s">
        <v>11</v>
      </c>
      <c r="D180" s="552">
        <v>25.799999999999997</v>
      </c>
      <c r="E180" s="552">
        <v>1300</v>
      </c>
      <c r="F180" s="558">
        <f>D180*E180</f>
        <v>33539.999999999993</v>
      </c>
    </row>
    <row r="181" spans="1:6" s="559" customFormat="1" x14ac:dyDescent="0.25">
      <c r="A181" s="552"/>
      <c r="B181" s="552" t="s">
        <v>902</v>
      </c>
      <c r="C181" s="552" t="s">
        <v>11</v>
      </c>
      <c r="D181" s="552">
        <v>9</v>
      </c>
      <c r="E181" s="552">
        <v>15000</v>
      </c>
      <c r="F181" s="558">
        <f>D181*E181</f>
        <v>135000</v>
      </c>
    </row>
    <row r="182" spans="1:6" s="559" customFormat="1" x14ac:dyDescent="0.25">
      <c r="A182" s="557" t="s">
        <v>1148</v>
      </c>
      <c r="B182" s="557" t="s">
        <v>903</v>
      </c>
      <c r="C182" s="552"/>
      <c r="D182" s="552"/>
      <c r="E182" s="552"/>
      <c r="F182" s="558"/>
    </row>
    <row r="183" spans="1:6" s="559" customFormat="1" ht="18" x14ac:dyDescent="0.25">
      <c r="A183" s="552"/>
      <c r="B183" s="552" t="s">
        <v>904</v>
      </c>
      <c r="C183" s="552" t="s">
        <v>891</v>
      </c>
      <c r="D183" s="552">
        <f>6*4.6*1.05</f>
        <v>28.98</v>
      </c>
      <c r="E183" s="552">
        <v>11000</v>
      </c>
      <c r="F183" s="558">
        <f>D183*E183</f>
        <v>318780</v>
      </c>
    </row>
    <row r="184" spans="1:6" s="559" customFormat="1" x14ac:dyDescent="0.25">
      <c r="A184" s="557" t="s">
        <v>1149</v>
      </c>
      <c r="B184" s="557" t="s">
        <v>905</v>
      </c>
      <c r="C184" s="552"/>
      <c r="D184" s="552"/>
      <c r="E184" s="552"/>
      <c r="F184" s="558"/>
    </row>
    <row r="185" spans="1:6" s="559" customFormat="1" x14ac:dyDescent="0.25">
      <c r="A185" s="552"/>
      <c r="B185" s="552" t="s">
        <v>906</v>
      </c>
      <c r="C185" s="552" t="s">
        <v>14</v>
      </c>
      <c r="D185" s="552">
        <v>1</v>
      </c>
      <c r="E185" s="552">
        <v>140000</v>
      </c>
      <c r="F185" s="558">
        <f>D185*E185</f>
        <v>140000</v>
      </c>
    </row>
    <row r="186" spans="1:6" s="559" customFormat="1" x14ac:dyDescent="0.25">
      <c r="A186" s="552"/>
      <c r="B186" s="552" t="s">
        <v>907</v>
      </c>
      <c r="C186" s="552" t="s">
        <v>14</v>
      </c>
      <c r="D186" s="552">
        <v>1</v>
      </c>
      <c r="E186" s="552">
        <v>90000</v>
      </c>
      <c r="F186" s="558">
        <f>D186*E186</f>
        <v>90000</v>
      </c>
    </row>
    <row r="187" spans="1:6" s="559" customFormat="1" x14ac:dyDescent="0.25">
      <c r="A187" s="552"/>
      <c r="B187" s="552" t="s">
        <v>908</v>
      </c>
      <c r="C187" s="552" t="s">
        <v>14</v>
      </c>
      <c r="D187" s="552">
        <v>2</v>
      </c>
      <c r="E187" s="552">
        <v>80000</v>
      </c>
      <c r="F187" s="558">
        <f>D187*E187</f>
        <v>160000</v>
      </c>
    </row>
    <row r="188" spans="1:6" s="559" customFormat="1" x14ac:dyDescent="0.25">
      <c r="A188" s="557" t="s">
        <v>1150</v>
      </c>
      <c r="B188" s="557" t="s">
        <v>909</v>
      </c>
      <c r="C188" s="552"/>
      <c r="D188" s="552"/>
      <c r="E188" s="552"/>
      <c r="F188" s="558"/>
    </row>
    <row r="189" spans="1:6" s="559" customFormat="1" ht="18" x14ac:dyDescent="0.25">
      <c r="A189" s="552"/>
      <c r="B189" s="552" t="s">
        <v>910</v>
      </c>
      <c r="C189" s="552" t="s">
        <v>891</v>
      </c>
      <c r="D189" s="552">
        <f>((4.2*3.6)-D170*0.2)*1.05</f>
        <v>14.967540000000001</v>
      </c>
      <c r="E189" s="552">
        <v>9000</v>
      </c>
      <c r="F189" s="558">
        <f>D189*E189</f>
        <v>134707.86000000002</v>
      </c>
    </row>
    <row r="190" spans="1:6" s="559" customFormat="1" ht="18" x14ac:dyDescent="0.25">
      <c r="A190" s="552"/>
      <c r="B190" s="552" t="s">
        <v>911</v>
      </c>
      <c r="C190" s="552" t="s">
        <v>891</v>
      </c>
      <c r="D190" s="552">
        <f>(4.2+3.6)*2*0.8*1.05</f>
        <v>13.104000000000003</v>
      </c>
      <c r="E190" s="552">
        <v>10000</v>
      </c>
      <c r="F190" s="558">
        <f>D190*E190</f>
        <v>131040.00000000003</v>
      </c>
    </row>
    <row r="191" spans="1:6" s="559" customFormat="1" x14ac:dyDescent="0.25">
      <c r="A191" s="557" t="s">
        <v>1151</v>
      </c>
      <c r="B191" s="557" t="s">
        <v>912</v>
      </c>
      <c r="C191" s="552"/>
      <c r="D191" s="552"/>
      <c r="E191" s="552"/>
      <c r="F191" s="558"/>
    </row>
    <row r="192" spans="1:6" s="559" customFormat="1" ht="18" x14ac:dyDescent="0.25">
      <c r="A192" s="552"/>
      <c r="B192" s="552" t="s">
        <v>913</v>
      </c>
      <c r="C192" s="552" t="s">
        <v>891</v>
      </c>
      <c r="D192" s="552">
        <f>(1.8+1.5)*2*2.8*2*1.05</f>
        <v>38.807999999999993</v>
      </c>
      <c r="E192" s="552">
        <v>5000</v>
      </c>
      <c r="F192" s="558">
        <f>D192*E192</f>
        <v>194039.99999999997</v>
      </c>
    </row>
    <row r="193" spans="1:433" s="559" customFormat="1" x14ac:dyDescent="0.25">
      <c r="A193" s="552"/>
      <c r="B193" s="552" t="s">
        <v>914</v>
      </c>
      <c r="C193" s="552" t="s">
        <v>11</v>
      </c>
      <c r="D193" s="552">
        <v>8.652000000000001</v>
      </c>
      <c r="E193" s="552">
        <v>3000</v>
      </c>
      <c r="F193" s="558">
        <f>D193*E193</f>
        <v>25956.000000000004</v>
      </c>
    </row>
    <row r="194" spans="1:433" s="559" customFormat="1" ht="18" x14ac:dyDescent="0.25">
      <c r="A194" s="557" t="s">
        <v>1152</v>
      </c>
      <c r="B194" s="557" t="s">
        <v>915</v>
      </c>
      <c r="C194" s="552" t="s">
        <v>891</v>
      </c>
      <c r="D194" s="552">
        <f>3.2*2*1.05</f>
        <v>6.7200000000000006</v>
      </c>
      <c r="E194" s="552">
        <v>7000</v>
      </c>
      <c r="F194" s="558">
        <f>D194*E194</f>
        <v>47040.000000000007</v>
      </c>
    </row>
    <row r="195" spans="1:433" s="559" customFormat="1" x14ac:dyDescent="0.25">
      <c r="A195" s="557" t="s">
        <v>1153</v>
      </c>
      <c r="B195" s="557" t="s">
        <v>916</v>
      </c>
      <c r="C195" s="552" t="s">
        <v>11</v>
      </c>
      <c r="D195" s="552">
        <v>4.2</v>
      </c>
      <c r="E195" s="552">
        <v>3500</v>
      </c>
      <c r="F195" s="558">
        <f>D195*E195</f>
        <v>14700</v>
      </c>
    </row>
    <row r="196" spans="1:433" s="559" customFormat="1" x14ac:dyDescent="0.25">
      <c r="A196" s="557" t="s">
        <v>1154</v>
      </c>
      <c r="B196" s="557" t="s">
        <v>917</v>
      </c>
      <c r="C196" s="552"/>
      <c r="D196" s="552"/>
      <c r="E196" s="552"/>
      <c r="F196" s="558"/>
    </row>
    <row r="197" spans="1:433" s="559" customFormat="1" ht="18" x14ac:dyDescent="0.25">
      <c r="A197" s="552"/>
      <c r="B197" s="552" t="s">
        <v>918</v>
      </c>
      <c r="C197" s="552" t="s">
        <v>891</v>
      </c>
      <c r="D197" s="552">
        <f>D192</f>
        <v>38.807999999999993</v>
      </c>
      <c r="E197" s="552">
        <v>3500</v>
      </c>
      <c r="F197" s="558">
        <f t="shared" ref="F197:F202" si="9">D197*E197</f>
        <v>135827.99999999997</v>
      </c>
    </row>
    <row r="198" spans="1:433" s="559" customFormat="1" ht="18" x14ac:dyDescent="0.25">
      <c r="A198" s="552"/>
      <c r="B198" s="552" t="s">
        <v>919</v>
      </c>
      <c r="C198" s="552" t="s">
        <v>891</v>
      </c>
      <c r="D198" s="552">
        <f>D180*2*0.2+(D185)*(2.1*0.9)+D187*(1.2*1)</f>
        <v>14.610000000000001</v>
      </c>
      <c r="E198" s="552">
        <v>5000</v>
      </c>
      <c r="F198" s="558">
        <f t="shared" si="9"/>
        <v>73050</v>
      </c>
    </row>
    <row r="199" spans="1:433" s="559" customFormat="1" ht="18" x14ac:dyDescent="0.25">
      <c r="A199" s="552"/>
      <c r="B199" s="552" t="s">
        <v>920</v>
      </c>
      <c r="C199" s="552" t="s">
        <v>891</v>
      </c>
      <c r="D199" s="552">
        <f>D186*(2.1*0.9)+D195*0.2</f>
        <v>2.7300000000000004</v>
      </c>
      <c r="E199" s="552">
        <v>6000</v>
      </c>
      <c r="F199" s="558">
        <f t="shared" si="9"/>
        <v>16380.000000000002</v>
      </c>
    </row>
    <row r="200" spans="1:433" s="559" customFormat="1" ht="18" x14ac:dyDescent="0.25">
      <c r="A200" s="552"/>
      <c r="B200" s="552" t="s">
        <v>921</v>
      </c>
      <c r="C200" s="552" t="s">
        <v>891</v>
      </c>
      <c r="D200" s="552">
        <f>D194</f>
        <v>6.7200000000000006</v>
      </c>
      <c r="E200" s="552">
        <v>6000</v>
      </c>
      <c r="F200" s="558">
        <f t="shared" si="9"/>
        <v>40320.000000000007</v>
      </c>
    </row>
    <row r="201" spans="1:433" s="559" customFormat="1" ht="35.450000000000003" customHeight="1" x14ac:dyDescent="0.25">
      <c r="A201" s="557" t="s">
        <v>1155</v>
      </c>
      <c r="B201" s="557" t="s">
        <v>1157</v>
      </c>
      <c r="C201" s="552" t="s">
        <v>133</v>
      </c>
      <c r="D201" s="552">
        <v>1</v>
      </c>
      <c r="E201" s="552">
        <v>50000</v>
      </c>
      <c r="F201" s="558">
        <f t="shared" si="9"/>
        <v>50000</v>
      </c>
    </row>
    <row r="202" spans="1:433" s="559" customFormat="1" ht="38.25" x14ac:dyDescent="0.25">
      <c r="A202" s="557" t="s">
        <v>1156</v>
      </c>
      <c r="B202" s="557" t="s">
        <v>925</v>
      </c>
      <c r="C202" s="552" t="s">
        <v>133</v>
      </c>
      <c r="D202" s="552">
        <v>1</v>
      </c>
      <c r="E202" s="552">
        <v>600000</v>
      </c>
      <c r="F202" s="558">
        <f t="shared" si="9"/>
        <v>600000</v>
      </c>
    </row>
    <row r="203" spans="1:433" x14ac:dyDescent="0.25">
      <c r="A203" s="352"/>
      <c r="B203" s="353" t="s">
        <v>926</v>
      </c>
      <c r="C203" s="354"/>
      <c r="D203" s="364"/>
      <c r="E203" s="365"/>
      <c r="F203" s="357">
        <f>SUM(F164:F202)</f>
        <v>3894920.66</v>
      </c>
    </row>
    <row r="204" spans="1:433" s="36" customFormat="1" x14ac:dyDescent="0.25">
      <c r="A204" s="358"/>
      <c r="B204" s="359" t="s">
        <v>1141</v>
      </c>
      <c r="C204" s="360"/>
      <c r="D204" s="361" t="s">
        <v>642</v>
      </c>
      <c r="E204" s="362">
        <v>2</v>
      </c>
      <c r="F204" s="363">
        <f>F203*E204</f>
        <v>7789841.3200000003</v>
      </c>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row>
    <row r="205" spans="1:433" s="36" customFormat="1" x14ac:dyDescent="0.25">
      <c r="A205" s="130"/>
      <c r="B205" s="96" t="s">
        <v>928</v>
      </c>
      <c r="C205" s="97"/>
      <c r="D205" s="319"/>
      <c r="E205" s="350"/>
      <c r="F205" s="131">
        <f>+F204</f>
        <v>7789841.3200000003</v>
      </c>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row>
    <row r="206" spans="1:433" s="572" customFormat="1" ht="15" x14ac:dyDescent="0.25">
      <c r="A206" s="620"/>
      <c r="B206" s="625"/>
      <c r="C206" s="602"/>
      <c r="D206" s="621"/>
      <c r="E206" s="599"/>
      <c r="F206" s="626"/>
    </row>
    <row r="207" spans="1:433" s="2" customFormat="1" x14ac:dyDescent="0.25">
      <c r="A207" s="95"/>
      <c r="B207" s="96" t="s">
        <v>1005</v>
      </c>
      <c r="C207" s="97"/>
      <c r="D207" s="131"/>
      <c r="E207" s="320"/>
      <c r="F207" s="98">
        <f>+F160+F205</f>
        <v>10304245.2575</v>
      </c>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c r="IX207" s="1"/>
      <c r="IY207" s="1"/>
      <c r="IZ207" s="1"/>
      <c r="JA207" s="1"/>
      <c r="JB207" s="1"/>
      <c r="JC207" s="1"/>
      <c r="JD207" s="1"/>
      <c r="JE207" s="1"/>
      <c r="JF207" s="1"/>
      <c r="JG207" s="1"/>
      <c r="JH207" s="1"/>
      <c r="JI207" s="1"/>
      <c r="JJ207" s="1"/>
      <c r="JK207" s="1"/>
      <c r="JL207" s="1"/>
      <c r="JM207" s="1"/>
      <c r="JN207" s="1"/>
      <c r="JO207" s="1"/>
      <c r="JP207" s="1"/>
      <c r="JQ207" s="1"/>
      <c r="JR207" s="1"/>
      <c r="JS207" s="1"/>
      <c r="JT207" s="1"/>
      <c r="JU207" s="1"/>
      <c r="JV207" s="1"/>
      <c r="JW207" s="1"/>
      <c r="JX207" s="1"/>
      <c r="JY207" s="1"/>
      <c r="JZ207" s="1"/>
      <c r="KA207" s="1"/>
      <c r="KB207" s="1"/>
      <c r="KC207" s="1"/>
      <c r="KD207" s="1"/>
      <c r="KE207" s="1"/>
      <c r="KF207" s="1"/>
      <c r="KG207" s="1"/>
      <c r="KH207" s="1"/>
      <c r="KI207" s="1"/>
      <c r="KJ207" s="1"/>
      <c r="KK207" s="1"/>
      <c r="KL207" s="1"/>
      <c r="KM207" s="1"/>
      <c r="KN207" s="1"/>
      <c r="KO207" s="1"/>
      <c r="KP207" s="1"/>
      <c r="KQ207" s="1"/>
      <c r="KR207" s="1"/>
      <c r="KS207" s="1"/>
      <c r="KT207" s="1"/>
      <c r="KU207" s="1"/>
      <c r="KV207" s="1"/>
      <c r="KW207" s="1"/>
      <c r="KX207" s="1"/>
      <c r="KY207" s="1"/>
      <c r="KZ207" s="1"/>
      <c r="LA207" s="1"/>
      <c r="LB207" s="1"/>
      <c r="LC207" s="1"/>
      <c r="LD207" s="1"/>
      <c r="LE207" s="1"/>
      <c r="LF207" s="1"/>
      <c r="LG207" s="1"/>
      <c r="LH207" s="1"/>
      <c r="LI207" s="1"/>
      <c r="LJ207" s="1"/>
      <c r="LK207" s="1"/>
      <c r="LL207" s="1"/>
      <c r="LM207" s="1"/>
      <c r="LN207" s="1"/>
      <c r="LO207" s="1"/>
      <c r="LP207" s="1"/>
      <c r="LQ207" s="1"/>
      <c r="LR207" s="1"/>
      <c r="LS207" s="1"/>
      <c r="LT207" s="1"/>
      <c r="LU207" s="1"/>
      <c r="LV207" s="1"/>
      <c r="LW207" s="1"/>
      <c r="LX207" s="1"/>
      <c r="LY207" s="1"/>
      <c r="LZ207" s="1"/>
      <c r="MA207" s="1"/>
      <c r="MB207" s="1"/>
      <c r="MC207" s="1"/>
      <c r="MD207" s="1"/>
      <c r="ME207" s="1"/>
      <c r="MF207" s="1"/>
      <c r="MG207" s="1"/>
      <c r="MH207" s="1"/>
      <c r="MI207" s="1"/>
      <c r="MJ207" s="1"/>
      <c r="MK207" s="1"/>
      <c r="ML207" s="1"/>
      <c r="MM207" s="1"/>
      <c r="MN207" s="1"/>
      <c r="MO207" s="1"/>
      <c r="MP207" s="1"/>
      <c r="MQ207" s="1"/>
      <c r="MR207" s="1"/>
      <c r="MS207" s="1"/>
      <c r="MT207" s="1"/>
      <c r="MU207" s="1"/>
      <c r="MV207" s="1"/>
      <c r="MW207" s="1"/>
      <c r="MX207" s="1"/>
      <c r="MY207" s="1"/>
      <c r="MZ207" s="1"/>
      <c r="NA207" s="1"/>
      <c r="NB207" s="1"/>
      <c r="NC207" s="1"/>
      <c r="ND207" s="1"/>
      <c r="NE207" s="1"/>
      <c r="NF207" s="1"/>
      <c r="NG207" s="1"/>
      <c r="NH207" s="1"/>
      <c r="NI207" s="1"/>
      <c r="NJ207" s="1"/>
      <c r="NK207" s="1"/>
      <c r="NL207" s="1"/>
      <c r="NM207" s="1"/>
      <c r="NN207" s="1"/>
      <c r="NO207" s="1"/>
      <c r="NP207" s="1"/>
      <c r="NQ207" s="1"/>
      <c r="NR207" s="1"/>
      <c r="NS207" s="1"/>
      <c r="NT207" s="1"/>
      <c r="NU207" s="1"/>
      <c r="NV207" s="1"/>
      <c r="NW207" s="1"/>
      <c r="NX207" s="1"/>
      <c r="NY207" s="1"/>
      <c r="NZ207" s="1"/>
      <c r="OA207" s="1"/>
      <c r="OB207" s="1"/>
      <c r="OC207" s="1"/>
      <c r="OD207" s="1"/>
      <c r="OE207" s="1"/>
      <c r="OF207" s="1"/>
      <c r="OG207" s="1"/>
      <c r="OH207" s="1"/>
      <c r="OI207" s="1"/>
      <c r="OJ207" s="1"/>
      <c r="OK207" s="1"/>
      <c r="OL207" s="1"/>
      <c r="OM207" s="1"/>
      <c r="ON207" s="1"/>
      <c r="OO207" s="1"/>
      <c r="OP207" s="1"/>
      <c r="OQ207" s="1"/>
      <c r="OR207" s="1"/>
      <c r="OS207" s="1"/>
      <c r="OT207" s="1"/>
      <c r="OU207" s="1"/>
      <c r="OV207" s="1"/>
      <c r="OW207" s="1"/>
      <c r="OX207" s="1"/>
      <c r="OY207" s="1"/>
      <c r="OZ207" s="1"/>
      <c r="PA207" s="1"/>
      <c r="PB207" s="1"/>
      <c r="PC207" s="1"/>
      <c r="PD207" s="1"/>
      <c r="PE207" s="1"/>
      <c r="PF207" s="1"/>
      <c r="PG207" s="1"/>
      <c r="PH207" s="1"/>
      <c r="PI207" s="1"/>
      <c r="PJ207" s="1"/>
      <c r="PK207" s="1"/>
      <c r="PL207" s="1"/>
      <c r="PM207" s="1"/>
      <c r="PN207" s="1"/>
      <c r="PO207" s="1"/>
      <c r="PP207" s="1"/>
      <c r="PQ207" s="1"/>
    </row>
    <row r="208" spans="1:433" s="572" customFormat="1" ht="15" x14ac:dyDescent="0.25">
      <c r="A208" s="587"/>
      <c r="B208" s="631"/>
      <c r="C208" s="589"/>
      <c r="D208" s="590"/>
      <c r="E208" s="591"/>
      <c r="F208" s="592"/>
    </row>
    <row r="209" spans="1:7" s="104" customFormat="1" ht="16.5" thickBot="1" x14ac:dyDescent="0.3">
      <c r="A209" s="68"/>
      <c r="B209" s="20" t="s">
        <v>54</v>
      </c>
      <c r="C209" s="69"/>
      <c r="D209" s="38"/>
      <c r="E209" s="129"/>
      <c r="F209" s="70">
        <f>F207+F106</f>
        <v>10304245.2575</v>
      </c>
      <c r="G209" s="103"/>
    </row>
    <row r="210" spans="1:7" customFormat="1" thickTop="1" x14ac:dyDescent="0.25"/>
    <row r="211" spans="1:7" x14ac:dyDescent="0.25">
      <c r="A211" s="116"/>
      <c r="B211" s="66"/>
      <c r="C211" s="117"/>
      <c r="D211" s="118"/>
      <c r="E211" s="119"/>
      <c r="F211" s="67"/>
    </row>
    <row r="212" spans="1:7" x14ac:dyDescent="0.25">
      <c r="A212" s="515"/>
      <c r="B212" s="516" t="s">
        <v>189</v>
      </c>
      <c r="C212" s="517"/>
      <c r="D212" s="518"/>
      <c r="E212" s="519"/>
      <c r="F212" s="520" t="e">
        <f>SUM(#REF!,F209,F48,#REF!,F23)</f>
        <v>#REF!</v>
      </c>
    </row>
    <row r="213" spans="1:7" customFormat="1" ht="21" x14ac:dyDescent="0.35">
      <c r="A213" s="521"/>
      <c r="B213" s="522" t="s">
        <v>402</v>
      </c>
      <c r="C213" s="521"/>
      <c r="D213" s="521"/>
      <c r="E213" s="521"/>
      <c r="F213" s="523" t="e">
        <f>F212*18/100</f>
        <v>#REF!</v>
      </c>
    </row>
    <row r="214" spans="1:7" customFormat="1" ht="23.25" x14ac:dyDescent="0.35">
      <c r="A214" s="524"/>
      <c r="B214" s="525" t="s">
        <v>403</v>
      </c>
      <c r="C214" s="524"/>
      <c r="D214" s="524"/>
      <c r="E214" s="524"/>
      <c r="F214" s="526" t="e">
        <f>F212+F213</f>
        <v>#REF!</v>
      </c>
    </row>
  </sheetData>
  <mergeCells count="11">
    <mergeCell ref="B12:C12"/>
    <mergeCell ref="B14:C14"/>
    <mergeCell ref="B144:F144"/>
    <mergeCell ref="A16:A17"/>
    <mergeCell ref="B51:F51"/>
    <mergeCell ref="B106:F106"/>
    <mergeCell ref="E16:E17"/>
    <mergeCell ref="B16:B17"/>
    <mergeCell ref="C16:C17"/>
    <mergeCell ref="D16:D17"/>
    <mergeCell ref="F16:F17"/>
  </mergeCells>
  <phoneticPr fontId="44" type="noConversion"/>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QD45"/>
  <sheetViews>
    <sheetView workbookViewId="0">
      <selection activeCell="B30" sqref="B30"/>
    </sheetView>
  </sheetViews>
  <sheetFormatPr defaultColWidth="8.85546875" defaultRowHeight="15" x14ac:dyDescent="0.25"/>
  <cols>
    <col min="1" max="1" width="9.85546875" customWidth="1"/>
    <col min="2" max="2" width="135.28515625" bestFit="1" customWidth="1"/>
    <col min="3" max="3" width="16" customWidth="1"/>
    <col min="4" max="4" width="10.140625" customWidth="1"/>
    <col min="5" max="5" width="15.42578125" customWidth="1"/>
    <col min="6" max="6" width="23.5703125" customWidth="1"/>
  </cols>
  <sheetData>
    <row r="2" spans="1:446" s="110" customFormat="1" ht="15.75" x14ac:dyDescent="0.25">
      <c r="A2" s="63" t="s">
        <v>136</v>
      </c>
      <c r="B2" s="193" t="s">
        <v>255</v>
      </c>
      <c r="C2" s="194"/>
      <c r="D2" s="194"/>
      <c r="E2" s="194"/>
      <c r="F2" s="195"/>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row>
    <row r="3" spans="1:446" s="110" customFormat="1" ht="15.75" x14ac:dyDescent="0.25">
      <c r="A3" s="25" t="s">
        <v>137</v>
      </c>
      <c r="B3" s="196" t="s">
        <v>16</v>
      </c>
      <c r="C3" s="197" t="s">
        <v>71</v>
      </c>
      <c r="D3" s="106">
        <v>36.085194000000001</v>
      </c>
      <c r="E3" s="198">
        <v>2500</v>
      </c>
      <c r="F3" s="199">
        <f t="shared" ref="F3:F36" si="0">E3*D3</f>
        <v>90212.985000000001</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row>
    <row r="4" spans="1:446" s="110" customFormat="1" ht="15.75" x14ac:dyDescent="0.25">
      <c r="A4" s="25" t="s">
        <v>138</v>
      </c>
      <c r="B4" s="196" t="s">
        <v>17</v>
      </c>
      <c r="C4" s="197" t="s">
        <v>71</v>
      </c>
      <c r="D4" s="106">
        <v>5.3807982000000001</v>
      </c>
      <c r="E4" s="198">
        <v>55000</v>
      </c>
      <c r="F4" s="199">
        <f t="shared" si="0"/>
        <v>295943.90100000001</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row>
    <row r="5" spans="1:446" s="110" customFormat="1" ht="15.75" x14ac:dyDescent="0.25">
      <c r="A5" s="25" t="s">
        <v>139</v>
      </c>
      <c r="B5" s="196" t="s">
        <v>18</v>
      </c>
      <c r="C5" s="197" t="s">
        <v>71</v>
      </c>
      <c r="D5" s="106">
        <v>0.89679970000000009</v>
      </c>
      <c r="E5" s="198">
        <v>90000</v>
      </c>
      <c r="F5" s="199">
        <f t="shared" si="0"/>
        <v>80711.973000000013</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row>
    <row r="6" spans="1:446" s="110" customFormat="1" ht="15.75" x14ac:dyDescent="0.25">
      <c r="A6" s="25" t="s">
        <v>140</v>
      </c>
      <c r="B6" s="196" t="s">
        <v>256</v>
      </c>
      <c r="C6" s="197" t="s">
        <v>71</v>
      </c>
      <c r="D6" s="106">
        <v>3.5871988000000004</v>
      </c>
      <c r="E6" s="198">
        <v>400000</v>
      </c>
      <c r="F6" s="199">
        <f t="shared" si="0"/>
        <v>1434879.5200000003</v>
      </c>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row>
    <row r="7" spans="1:446" s="110" customFormat="1" ht="15.75" x14ac:dyDescent="0.25">
      <c r="A7" s="25" t="s">
        <v>141</v>
      </c>
      <c r="B7" s="196" t="s">
        <v>19</v>
      </c>
      <c r="C7" s="197" t="s">
        <v>71</v>
      </c>
      <c r="D7" s="106">
        <v>3.5871988000000004</v>
      </c>
      <c r="E7" s="198">
        <v>350000</v>
      </c>
      <c r="F7" s="199">
        <f t="shared" si="0"/>
        <v>1255519.58</v>
      </c>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row>
    <row r="8" spans="1:446" s="1" customFormat="1" ht="15.75" x14ac:dyDescent="0.25">
      <c r="A8" s="25" t="s">
        <v>142</v>
      </c>
      <c r="B8" s="196" t="s">
        <v>20</v>
      </c>
      <c r="C8" s="197" t="s">
        <v>71</v>
      </c>
      <c r="D8" s="106">
        <v>19.311</v>
      </c>
      <c r="E8" s="198">
        <v>70000</v>
      </c>
      <c r="F8" s="199">
        <f t="shared" si="0"/>
        <v>1351770</v>
      </c>
    </row>
    <row r="9" spans="1:446" s="1" customFormat="1" ht="15.75" x14ac:dyDescent="0.25">
      <c r="A9" s="25" t="s">
        <v>143</v>
      </c>
      <c r="B9" s="196" t="s">
        <v>21</v>
      </c>
      <c r="C9" s="197" t="s">
        <v>72</v>
      </c>
      <c r="D9" s="106">
        <v>43.784474000000003</v>
      </c>
      <c r="E9" s="198">
        <v>5000</v>
      </c>
      <c r="F9" s="199">
        <f t="shared" si="0"/>
        <v>218922.37000000002</v>
      </c>
    </row>
    <row r="10" spans="1:446" s="1" customFormat="1" ht="15.75" x14ac:dyDescent="0.25">
      <c r="A10" s="25" t="s">
        <v>144</v>
      </c>
      <c r="B10" s="196" t="s">
        <v>73</v>
      </c>
      <c r="C10" s="197" t="s">
        <v>72</v>
      </c>
      <c r="D10" s="106">
        <v>43.784474000000003</v>
      </c>
      <c r="E10" s="198">
        <v>10000</v>
      </c>
      <c r="F10" s="199">
        <f t="shared" si="0"/>
        <v>437844.74000000005</v>
      </c>
    </row>
    <row r="11" spans="1:446" s="1" customFormat="1" ht="15.75" x14ac:dyDescent="0.25">
      <c r="A11" s="25" t="s">
        <v>145</v>
      </c>
      <c r="B11" s="196" t="s">
        <v>22</v>
      </c>
      <c r="C11" s="197" t="s">
        <v>72</v>
      </c>
      <c r="D11" s="106">
        <v>23.189214000000003</v>
      </c>
      <c r="E11" s="198">
        <v>3800</v>
      </c>
      <c r="F11" s="199">
        <f t="shared" si="0"/>
        <v>88119.013200000016</v>
      </c>
    </row>
    <row r="12" spans="1:446" s="1" customFormat="1" ht="15.75" x14ac:dyDescent="0.25">
      <c r="A12" s="25" t="s">
        <v>146</v>
      </c>
      <c r="B12" s="196" t="s">
        <v>23</v>
      </c>
      <c r="C12" s="197" t="s">
        <v>72</v>
      </c>
      <c r="D12" s="106">
        <v>7.3790000000000004</v>
      </c>
      <c r="E12" s="198">
        <v>5000</v>
      </c>
      <c r="F12" s="199">
        <f t="shared" si="0"/>
        <v>36895</v>
      </c>
    </row>
    <row r="13" spans="1:446" s="1" customFormat="1" ht="15.75" x14ac:dyDescent="0.25">
      <c r="A13" s="25" t="s">
        <v>147</v>
      </c>
      <c r="B13" s="196" t="s">
        <v>257</v>
      </c>
      <c r="C13" s="197" t="s">
        <v>14</v>
      </c>
      <c r="D13" s="106">
        <v>2</v>
      </c>
      <c r="E13" s="198">
        <v>80000</v>
      </c>
      <c r="F13" s="199">
        <f t="shared" si="0"/>
        <v>160000</v>
      </c>
    </row>
    <row r="14" spans="1:446" s="1" customFormat="1" ht="15.75" x14ac:dyDescent="0.25">
      <c r="A14" s="25" t="s">
        <v>148</v>
      </c>
      <c r="B14" s="196" t="s">
        <v>24</v>
      </c>
      <c r="C14" s="197" t="s">
        <v>190</v>
      </c>
      <c r="D14" s="106">
        <v>2</v>
      </c>
      <c r="E14" s="198">
        <v>140000</v>
      </c>
      <c r="F14" s="199">
        <f t="shared" si="0"/>
        <v>280000</v>
      </c>
    </row>
    <row r="15" spans="1:446" s="1" customFormat="1" ht="15.75" x14ac:dyDescent="0.25">
      <c r="A15" s="25"/>
      <c r="B15" s="200"/>
      <c r="C15" s="201"/>
      <c r="D15" s="202"/>
      <c r="E15" s="203"/>
      <c r="F15" s="199">
        <f t="shared" si="0"/>
        <v>0</v>
      </c>
    </row>
    <row r="16" spans="1:446" s="1" customFormat="1" ht="15.75" x14ac:dyDescent="0.25">
      <c r="A16" s="25"/>
      <c r="B16" s="204" t="s">
        <v>258</v>
      </c>
      <c r="C16" s="201"/>
      <c r="D16" s="202"/>
      <c r="E16" s="203"/>
      <c r="F16" s="199">
        <f t="shared" si="0"/>
        <v>0</v>
      </c>
    </row>
    <row r="17" spans="1:6" s="1" customFormat="1" ht="15.75" x14ac:dyDescent="0.25">
      <c r="A17" s="25" t="s">
        <v>149</v>
      </c>
      <c r="B17" s="196" t="s">
        <v>16</v>
      </c>
      <c r="C17" s="197" t="s">
        <v>71</v>
      </c>
      <c r="D17" s="106">
        <v>10.780000000000001</v>
      </c>
      <c r="E17" s="198">
        <v>2500</v>
      </c>
      <c r="F17" s="199">
        <f t="shared" si="0"/>
        <v>26950.000000000004</v>
      </c>
    </row>
    <row r="18" spans="1:6" s="1" customFormat="1" ht="15.75" x14ac:dyDescent="0.25">
      <c r="A18" s="25" t="s">
        <v>150</v>
      </c>
      <c r="B18" s="196" t="s">
        <v>42</v>
      </c>
      <c r="C18" s="197" t="s">
        <v>71</v>
      </c>
      <c r="D18" s="106">
        <v>1.2090000000000001</v>
      </c>
      <c r="E18" s="198">
        <v>55000</v>
      </c>
      <c r="F18" s="199">
        <f t="shared" si="0"/>
        <v>66495</v>
      </c>
    </row>
    <row r="19" spans="1:6" s="1" customFormat="1" ht="15.75" x14ac:dyDescent="0.25">
      <c r="A19" s="25" t="s">
        <v>151</v>
      </c>
      <c r="B19" s="196" t="s">
        <v>18</v>
      </c>
      <c r="C19" s="197" t="s">
        <v>71</v>
      </c>
      <c r="D19" s="106">
        <v>0.30225000000000002</v>
      </c>
      <c r="E19" s="198">
        <v>90000</v>
      </c>
      <c r="F19" s="199">
        <f t="shared" si="0"/>
        <v>27202.5</v>
      </c>
    </row>
    <row r="20" spans="1:6" s="1" customFormat="1" ht="15.75" x14ac:dyDescent="0.25">
      <c r="A20" s="25" t="s">
        <v>152</v>
      </c>
      <c r="B20" s="196" t="s">
        <v>43</v>
      </c>
      <c r="C20" s="197" t="s">
        <v>71</v>
      </c>
      <c r="D20" s="106">
        <v>1.0728000000000002</v>
      </c>
      <c r="E20" s="198">
        <v>350000</v>
      </c>
      <c r="F20" s="199">
        <f t="shared" si="0"/>
        <v>375480.00000000006</v>
      </c>
    </row>
    <row r="21" spans="1:6" s="1" customFormat="1" ht="15.75" x14ac:dyDescent="0.25">
      <c r="A21" s="25" t="s">
        <v>153</v>
      </c>
      <c r="B21" s="196" t="s">
        <v>44</v>
      </c>
      <c r="C21" s="197" t="s">
        <v>71</v>
      </c>
      <c r="D21" s="106">
        <v>1.3600000000000003</v>
      </c>
      <c r="E21" s="198">
        <v>70000</v>
      </c>
      <c r="F21" s="199">
        <f t="shared" si="0"/>
        <v>95200.000000000029</v>
      </c>
    </row>
    <row r="22" spans="1:6" s="1" customFormat="1" ht="15.75" x14ac:dyDescent="0.25">
      <c r="A22" s="25" t="s">
        <v>154</v>
      </c>
      <c r="B22" s="196" t="s">
        <v>25</v>
      </c>
      <c r="C22" s="197" t="s">
        <v>72</v>
      </c>
      <c r="D22" s="106">
        <v>13.600000000000001</v>
      </c>
      <c r="E22" s="198">
        <v>3800</v>
      </c>
      <c r="F22" s="199">
        <f t="shared" si="0"/>
        <v>51680.000000000007</v>
      </c>
    </row>
    <row r="23" spans="1:6" s="1" customFormat="1" ht="15.75" x14ac:dyDescent="0.25">
      <c r="A23" s="25" t="s">
        <v>155</v>
      </c>
      <c r="B23" s="196" t="s">
        <v>26</v>
      </c>
      <c r="C23" s="197" t="s">
        <v>72</v>
      </c>
      <c r="D23" s="106">
        <v>4.6800000000000006</v>
      </c>
      <c r="E23" s="198">
        <v>3800</v>
      </c>
      <c r="F23" s="199">
        <f t="shared" si="0"/>
        <v>17784.000000000004</v>
      </c>
    </row>
    <row r="24" spans="1:6" s="1" customFormat="1" ht="15.75" x14ac:dyDescent="0.25">
      <c r="A24" s="25" t="s">
        <v>156</v>
      </c>
      <c r="B24" s="196" t="s">
        <v>23</v>
      </c>
      <c r="C24" s="197" t="s">
        <v>72</v>
      </c>
      <c r="D24" s="106">
        <v>1.2000000000000002</v>
      </c>
      <c r="E24" s="198">
        <v>5000</v>
      </c>
      <c r="F24" s="199">
        <f t="shared" si="0"/>
        <v>6000.0000000000009</v>
      </c>
    </row>
    <row r="25" spans="1:6" s="1" customFormat="1" ht="15.75" x14ac:dyDescent="0.25">
      <c r="A25" s="25" t="s">
        <v>157</v>
      </c>
      <c r="B25" s="196" t="s">
        <v>28</v>
      </c>
      <c r="C25" s="197" t="s">
        <v>14</v>
      </c>
      <c r="D25" s="106">
        <v>1</v>
      </c>
      <c r="E25" s="198">
        <v>80000</v>
      </c>
      <c r="F25" s="199">
        <f t="shared" si="0"/>
        <v>80000</v>
      </c>
    </row>
    <row r="26" spans="1:6" s="1" customFormat="1" ht="15.75" x14ac:dyDescent="0.25">
      <c r="A26" s="25" t="s">
        <v>158</v>
      </c>
      <c r="B26" s="196" t="s">
        <v>45</v>
      </c>
      <c r="C26" s="197" t="s">
        <v>11</v>
      </c>
      <c r="D26" s="106">
        <v>1</v>
      </c>
      <c r="E26" s="198">
        <v>20000</v>
      </c>
      <c r="F26" s="199">
        <f t="shared" si="0"/>
        <v>20000</v>
      </c>
    </row>
    <row r="27" spans="1:6" s="1" customFormat="1" ht="15.75" x14ac:dyDescent="0.25">
      <c r="A27" s="25"/>
      <c r="B27" s="200"/>
      <c r="C27" s="201"/>
      <c r="D27" s="202"/>
      <c r="E27" s="203"/>
      <c r="F27" s="199">
        <f t="shared" si="0"/>
        <v>0</v>
      </c>
    </row>
    <row r="28" spans="1:6" s="1" customFormat="1" ht="15.75" x14ac:dyDescent="0.25">
      <c r="A28" s="25"/>
      <c r="B28" s="204" t="s">
        <v>49</v>
      </c>
      <c r="C28" s="201"/>
      <c r="D28" s="202"/>
      <c r="E28" s="203"/>
      <c r="F28" s="199">
        <f t="shared" si="0"/>
        <v>0</v>
      </c>
    </row>
    <row r="29" spans="1:6" s="1" customFormat="1" ht="15.75" x14ac:dyDescent="0.25">
      <c r="A29" s="25" t="s">
        <v>264</v>
      </c>
      <c r="B29" s="196" t="s">
        <v>16</v>
      </c>
      <c r="C29" s="197" t="s">
        <v>71</v>
      </c>
      <c r="D29" s="106">
        <v>5.67</v>
      </c>
      <c r="E29" s="198">
        <v>2500</v>
      </c>
      <c r="F29" s="199">
        <f t="shared" si="0"/>
        <v>14175</v>
      </c>
    </row>
    <row r="30" spans="1:6" s="1" customFormat="1" ht="15.75" x14ac:dyDescent="0.25">
      <c r="A30" s="25" t="s">
        <v>159</v>
      </c>
      <c r="B30" s="196" t="s">
        <v>46</v>
      </c>
      <c r="C30" s="197" t="s">
        <v>71</v>
      </c>
      <c r="D30" s="106">
        <v>0.43999999999999995</v>
      </c>
      <c r="E30" s="198">
        <v>55000</v>
      </c>
      <c r="F30" s="199">
        <f t="shared" si="0"/>
        <v>24199.999999999996</v>
      </c>
    </row>
    <row r="31" spans="1:6" s="1" customFormat="1" ht="15.75" x14ac:dyDescent="0.25">
      <c r="A31" s="25" t="s">
        <v>160</v>
      </c>
      <c r="B31" s="196" t="s">
        <v>18</v>
      </c>
      <c r="C31" s="197" t="s">
        <v>71</v>
      </c>
      <c r="D31" s="106">
        <v>0.10999999999999999</v>
      </c>
      <c r="E31" s="198">
        <v>90000</v>
      </c>
      <c r="F31" s="199">
        <f t="shared" si="0"/>
        <v>9899.9999999999982</v>
      </c>
    </row>
    <row r="32" spans="1:6" s="1" customFormat="1" ht="15.75" x14ac:dyDescent="0.25">
      <c r="A32" s="25" t="s">
        <v>161</v>
      </c>
      <c r="B32" s="196" t="s">
        <v>47</v>
      </c>
      <c r="C32" s="197" t="s">
        <v>71</v>
      </c>
      <c r="D32" s="106">
        <v>0.21999999999999997</v>
      </c>
      <c r="E32" s="198">
        <v>350000</v>
      </c>
      <c r="F32" s="199">
        <f t="shared" si="0"/>
        <v>76999.999999999985</v>
      </c>
    </row>
    <row r="33" spans="1:41" s="35" customFormat="1" ht="15.75" x14ac:dyDescent="0.25">
      <c r="A33" s="25" t="s">
        <v>162</v>
      </c>
      <c r="B33" s="196" t="s">
        <v>31</v>
      </c>
      <c r="C33" s="197" t="s">
        <v>71</v>
      </c>
      <c r="D33" s="106">
        <v>0.13400000000000001</v>
      </c>
      <c r="E33" s="198">
        <v>70000</v>
      </c>
      <c r="F33" s="199">
        <f t="shared" si="0"/>
        <v>9380</v>
      </c>
    </row>
    <row r="34" spans="1:41" s="1" customFormat="1" ht="15.75" x14ac:dyDescent="0.25">
      <c r="A34" s="25" t="s">
        <v>163</v>
      </c>
      <c r="B34" s="196" t="s">
        <v>50</v>
      </c>
      <c r="C34" s="197" t="s">
        <v>72</v>
      </c>
      <c r="D34" s="106">
        <v>5.3</v>
      </c>
      <c r="E34" s="198">
        <v>3800</v>
      </c>
      <c r="F34" s="199">
        <f t="shared" si="0"/>
        <v>20140</v>
      </c>
    </row>
    <row r="35" spans="1:41" s="1" customFormat="1" ht="15.75" x14ac:dyDescent="0.25">
      <c r="A35" s="25" t="s">
        <v>164</v>
      </c>
      <c r="B35" s="196" t="s">
        <v>74</v>
      </c>
      <c r="C35" s="197" t="s">
        <v>14</v>
      </c>
      <c r="D35" s="106">
        <v>1</v>
      </c>
      <c r="E35" s="198">
        <v>36000</v>
      </c>
      <c r="F35" s="199">
        <f t="shared" si="0"/>
        <v>36000</v>
      </c>
    </row>
    <row r="36" spans="1:41" s="1" customFormat="1" ht="15.75" x14ac:dyDescent="0.25">
      <c r="A36" s="25" t="s">
        <v>165</v>
      </c>
      <c r="B36" s="57" t="s">
        <v>259</v>
      </c>
      <c r="C36" s="197" t="s">
        <v>260</v>
      </c>
      <c r="D36" s="106">
        <v>1</v>
      </c>
      <c r="E36" s="198">
        <v>1500000</v>
      </c>
      <c r="F36" s="199">
        <f t="shared" si="0"/>
        <v>1500000</v>
      </c>
    </row>
    <row r="37" spans="1:41" s="1" customFormat="1" ht="15.75" x14ac:dyDescent="0.25">
      <c r="A37" s="352"/>
      <c r="B37" s="353" t="s">
        <v>261</v>
      </c>
      <c r="C37" s="354"/>
      <c r="D37" s="364"/>
      <c r="E37" s="365"/>
      <c r="F37" s="357">
        <f>SUM(F3:F36)</f>
        <v>8188405.582200001</v>
      </c>
    </row>
    <row r="38" spans="1:41" s="36" customFormat="1" ht="15.75" x14ac:dyDescent="0.25">
      <c r="A38" s="358"/>
      <c r="B38" s="359" t="s">
        <v>847</v>
      </c>
      <c r="C38" s="360"/>
      <c r="D38" s="361" t="s">
        <v>642</v>
      </c>
      <c r="E38" s="362">
        <v>66</v>
      </c>
      <c r="F38" s="363">
        <f>F37*E38</f>
        <v>540434768.4252001</v>
      </c>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40" spans="1:41" s="1" customFormat="1" ht="15.75" x14ac:dyDescent="0.25">
      <c r="A40" s="63" t="s">
        <v>199</v>
      </c>
      <c r="B40" s="193" t="s">
        <v>262</v>
      </c>
      <c r="C40" s="194"/>
      <c r="D40" s="194"/>
      <c r="E40" s="194"/>
      <c r="F40" s="195"/>
    </row>
    <row r="41" spans="1:41" s="1" customFormat="1" ht="15.75" x14ac:dyDescent="0.25">
      <c r="A41" s="25" t="s">
        <v>200</v>
      </c>
      <c r="B41" s="196" t="s">
        <v>21</v>
      </c>
      <c r="C41" s="197" t="s">
        <v>72</v>
      </c>
      <c r="D41" s="106">
        <v>43.784474000000003</v>
      </c>
      <c r="E41" s="198">
        <v>5000</v>
      </c>
      <c r="F41" s="199">
        <f>E41*D41</f>
        <v>218922.37000000002</v>
      </c>
    </row>
    <row r="42" spans="1:41" s="1" customFormat="1" ht="15.75" x14ac:dyDescent="0.25">
      <c r="A42" s="25" t="s">
        <v>201</v>
      </c>
      <c r="B42" s="196" t="s">
        <v>73</v>
      </c>
      <c r="C42" s="197" t="s">
        <v>72</v>
      </c>
      <c r="D42" s="106">
        <v>43.784474000000003</v>
      </c>
      <c r="E42" s="198">
        <v>10000</v>
      </c>
      <c r="F42" s="199">
        <f>E42*D42</f>
        <v>437844.74000000005</v>
      </c>
    </row>
    <row r="43" spans="1:41" s="1" customFormat="1" ht="15.75" x14ac:dyDescent="0.25">
      <c r="A43" s="25" t="s">
        <v>202</v>
      </c>
      <c r="B43" s="196" t="s">
        <v>22</v>
      </c>
      <c r="C43" s="197" t="s">
        <v>72</v>
      </c>
      <c r="D43" s="106">
        <v>23.189214000000003</v>
      </c>
      <c r="E43" s="198">
        <v>3800</v>
      </c>
      <c r="F43" s="199">
        <f>E43*D43</f>
        <v>88119.013200000016</v>
      </c>
    </row>
    <row r="44" spans="1:41" s="1" customFormat="1" ht="15.75" x14ac:dyDescent="0.25">
      <c r="A44" s="352"/>
      <c r="B44" s="353" t="s">
        <v>848</v>
      </c>
      <c r="C44" s="354"/>
      <c r="D44" s="364"/>
      <c r="E44" s="365"/>
      <c r="F44" s="357">
        <f>SUM(F10:F43)</f>
        <v>552828505.38380015</v>
      </c>
    </row>
    <row r="45" spans="1:41" s="36" customFormat="1" ht="15.75" x14ac:dyDescent="0.25">
      <c r="A45" s="358"/>
      <c r="B45" s="359" t="s">
        <v>263</v>
      </c>
      <c r="C45" s="360"/>
      <c r="D45" s="361" t="s">
        <v>642</v>
      </c>
      <c r="E45" s="362">
        <v>66</v>
      </c>
      <c r="F45" s="363">
        <f>F44*E45</f>
        <v>36486681355.330811</v>
      </c>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AO45"/>
  <sheetViews>
    <sheetView topLeftCell="A31" zoomScale="106" zoomScaleNormal="106" workbookViewId="0">
      <selection activeCell="B30" sqref="B30"/>
    </sheetView>
  </sheetViews>
  <sheetFormatPr defaultColWidth="8.85546875" defaultRowHeight="15" x14ac:dyDescent="0.25"/>
  <cols>
    <col min="1" max="1" width="9.85546875" customWidth="1"/>
    <col min="2" max="2" width="135.28515625" bestFit="1" customWidth="1"/>
    <col min="3" max="3" width="16" customWidth="1"/>
    <col min="4" max="4" width="10.140625" customWidth="1"/>
    <col min="5" max="5" width="15.42578125" customWidth="1"/>
    <col min="6" max="6" width="23.5703125" customWidth="1"/>
  </cols>
  <sheetData>
    <row r="3" spans="1:6" s="1" customFormat="1" ht="17.25" x14ac:dyDescent="0.25">
      <c r="A3" s="185" t="s">
        <v>199</v>
      </c>
      <c r="B3" s="134" t="s">
        <v>230</v>
      </c>
      <c r="C3" s="135"/>
      <c r="D3" s="136"/>
      <c r="E3" s="137"/>
      <c r="F3" s="138"/>
    </row>
    <row r="4" spans="1:6" s="1" customFormat="1" ht="15.75" x14ac:dyDescent="0.25">
      <c r="A4" s="182"/>
      <c r="B4" s="177"/>
      <c r="C4" s="178"/>
      <c r="D4" s="179"/>
      <c r="E4" s="180"/>
      <c r="F4" s="181"/>
    </row>
    <row r="5" spans="1:6" s="1" customFormat="1" ht="16.5" x14ac:dyDescent="0.25">
      <c r="A5" s="111" t="s">
        <v>200</v>
      </c>
      <c r="B5" s="140" t="s">
        <v>16</v>
      </c>
      <c r="C5" s="141" t="s">
        <v>231</v>
      </c>
      <c r="D5" s="142">
        <f>3.14*(1+(0.85+2.753))*(1+(0.85+2.753))*1.1</f>
        <v>73.182001486000004</v>
      </c>
      <c r="E5" s="143">
        <v>2500</v>
      </c>
      <c r="F5" s="144">
        <f t="shared" ref="F5:F16" si="0">D5*E5</f>
        <v>182955.003715</v>
      </c>
    </row>
    <row r="6" spans="1:6" s="1" customFormat="1" ht="16.5" x14ac:dyDescent="0.25">
      <c r="A6" s="111" t="s">
        <v>201</v>
      </c>
      <c r="B6" s="140" t="s">
        <v>17</v>
      </c>
      <c r="C6" s="141" t="s">
        <v>231</v>
      </c>
      <c r="D6" s="142">
        <f>3.14*(0.85+2.753)*(0.85+2.753)*0.3</f>
        <v>12.228675678</v>
      </c>
      <c r="E6" s="143">
        <v>55000</v>
      </c>
      <c r="F6" s="144">
        <f t="shared" si="0"/>
        <v>672577.16229000001</v>
      </c>
    </row>
    <row r="7" spans="1:6" s="1" customFormat="1" ht="16.5" x14ac:dyDescent="0.25">
      <c r="A7" s="111" t="s">
        <v>202</v>
      </c>
      <c r="B7" s="145" t="s">
        <v>18</v>
      </c>
      <c r="C7" s="141" t="s">
        <v>231</v>
      </c>
      <c r="D7" s="142">
        <f>3.14*(0.85+2.753)*(0.85+2.753)*0.05</f>
        <v>2.0381126130000005</v>
      </c>
      <c r="E7" s="143">
        <v>90000</v>
      </c>
      <c r="F7" s="144">
        <f t="shared" si="0"/>
        <v>183430.13517000005</v>
      </c>
    </row>
    <row r="8" spans="1:6" s="35" customFormat="1" ht="16.5" x14ac:dyDescent="0.25">
      <c r="A8" s="111" t="s">
        <v>203</v>
      </c>
      <c r="B8" s="140" t="s">
        <v>29</v>
      </c>
      <c r="C8" s="141" t="s">
        <v>231</v>
      </c>
      <c r="D8" s="142">
        <f>3.14*(0.6+2.753)*(0.6+2.753)*0.2  +3.14*(( 2.753+0.6)*( 2.753+0.6)-(2.753+0.4)*(2.753+0.4))*0.3</f>
        <v>8.2860888520000024</v>
      </c>
      <c r="E8" s="143">
        <v>400000</v>
      </c>
      <c r="F8" s="144">
        <f t="shared" si="0"/>
        <v>3314435.540800001</v>
      </c>
    </row>
    <row r="9" spans="1:6" s="1" customFormat="1" ht="16.5" x14ac:dyDescent="0.25">
      <c r="A9" s="111" t="s">
        <v>204</v>
      </c>
      <c r="B9" s="140" t="s">
        <v>19</v>
      </c>
      <c r="C9" s="141" t="s">
        <v>231</v>
      </c>
      <c r="D9" s="142">
        <f>3.14*(0.6+2.753)*(0.6+2.753)*0.1   -  0.8*0.8*0.1</f>
        <v>3.4661792260000008</v>
      </c>
      <c r="E9" s="143">
        <v>350000</v>
      </c>
      <c r="F9" s="144">
        <f t="shared" si="0"/>
        <v>1213162.7291000003</v>
      </c>
    </row>
    <row r="10" spans="1:6" s="1" customFormat="1" ht="16.5" x14ac:dyDescent="0.25">
      <c r="A10" s="111" t="s">
        <v>205</v>
      </c>
      <c r="B10" s="140" t="s">
        <v>20</v>
      </c>
      <c r="C10" s="141" t="s">
        <v>231</v>
      </c>
      <c r="D10" s="146">
        <f>(3.14*(0.8-0.4+2.753)*(0.8-0.4+2.753)-3.14*(2.803)*(2.803))*(0.3+2.25)</f>
        <v>16.691392199999996</v>
      </c>
      <c r="E10" s="143">
        <v>70000</v>
      </c>
      <c r="F10" s="144">
        <f t="shared" si="0"/>
        <v>1168397.4539999997</v>
      </c>
    </row>
    <row r="11" spans="1:6" s="1" customFormat="1" ht="16.5" x14ac:dyDescent="0.25">
      <c r="A11" s="111" t="s">
        <v>206</v>
      </c>
      <c r="B11" s="140" t="s">
        <v>21</v>
      </c>
      <c r="C11" s="141" t="s">
        <v>232</v>
      </c>
      <c r="D11" s="142">
        <f>2*3.14*2.803*2.55  +  3.14*2.803*2.803</f>
        <v>69.557622260000002</v>
      </c>
      <c r="E11" s="143">
        <v>5000</v>
      </c>
      <c r="F11" s="144">
        <f t="shared" si="0"/>
        <v>347788.11129999999</v>
      </c>
    </row>
    <row r="12" spans="1:6" s="1" customFormat="1" ht="16.5" x14ac:dyDescent="0.25">
      <c r="A12" s="111" t="s">
        <v>207</v>
      </c>
      <c r="B12" s="140" t="s">
        <v>73</v>
      </c>
      <c r="C12" s="141" t="s">
        <v>232</v>
      </c>
      <c r="D12" s="142">
        <f>D11</f>
        <v>69.557622260000002</v>
      </c>
      <c r="E12" s="143">
        <v>10000</v>
      </c>
      <c r="F12" s="144">
        <f t="shared" si="0"/>
        <v>695576.22259999998</v>
      </c>
    </row>
    <row r="13" spans="1:6" s="1" customFormat="1" ht="16.5" x14ac:dyDescent="0.25">
      <c r="A13" s="111" t="s">
        <v>208</v>
      </c>
      <c r="B13" s="145" t="s">
        <v>22</v>
      </c>
      <c r="C13" s="141" t="s">
        <v>232</v>
      </c>
      <c r="D13" s="142">
        <f>3.14*(2.753+0.6)*(2.753+0.6)   -  0.8*0.8</f>
        <v>34.661792260000006</v>
      </c>
      <c r="E13" s="143">
        <v>3800</v>
      </c>
      <c r="F13" s="144">
        <f t="shared" si="0"/>
        <v>131714.81058800002</v>
      </c>
    </row>
    <row r="14" spans="1:6" s="1" customFormat="1" ht="16.5" x14ac:dyDescent="0.25">
      <c r="A14" s="111" t="s">
        <v>209</v>
      </c>
      <c r="B14" s="145" t="s">
        <v>23</v>
      </c>
      <c r="C14" s="141" t="s">
        <v>232</v>
      </c>
      <c r="D14" s="142">
        <f>3.14*((2.803+0.4)*(2.803+0.4)-2.753*2.753)</f>
        <v>8.4158279999999923</v>
      </c>
      <c r="E14" s="143">
        <v>5000</v>
      </c>
      <c r="F14" s="144">
        <f t="shared" si="0"/>
        <v>42079.139999999963</v>
      </c>
    </row>
    <row r="15" spans="1:6" s="1" customFormat="1" ht="15.75" x14ac:dyDescent="0.25">
      <c r="A15" s="111" t="s">
        <v>210</v>
      </c>
      <c r="B15" s="145" t="s">
        <v>68</v>
      </c>
      <c r="C15" s="141" t="s">
        <v>14</v>
      </c>
      <c r="D15" s="142">
        <v>2</v>
      </c>
      <c r="E15" s="147">
        <v>100000</v>
      </c>
      <c r="F15" s="148">
        <f t="shared" si="0"/>
        <v>200000</v>
      </c>
    </row>
    <row r="16" spans="1:6" s="1" customFormat="1" ht="15.75" x14ac:dyDescent="0.25">
      <c r="A16" s="111" t="s">
        <v>211</v>
      </c>
      <c r="B16" s="149" t="s">
        <v>24</v>
      </c>
      <c r="C16" s="141" t="s">
        <v>190</v>
      </c>
      <c r="D16" s="150">
        <v>2</v>
      </c>
      <c r="E16" s="147">
        <v>140000</v>
      </c>
      <c r="F16" s="148">
        <f t="shared" si="0"/>
        <v>280000</v>
      </c>
    </row>
    <row r="17" spans="1:6" s="1" customFormat="1" ht="15.75" x14ac:dyDescent="0.25">
      <c r="A17" s="111"/>
      <c r="B17" s="149"/>
      <c r="C17" s="151"/>
      <c r="D17" s="152"/>
      <c r="E17" s="153"/>
      <c r="F17" s="154"/>
    </row>
    <row r="18" spans="1:6" s="1" customFormat="1" ht="15.75" x14ac:dyDescent="0.25">
      <c r="A18" s="111"/>
      <c r="B18" s="156" t="s">
        <v>233</v>
      </c>
      <c r="C18" s="141"/>
      <c r="D18" s="142"/>
      <c r="E18" s="143"/>
      <c r="F18" s="157">
        <f>SUM(F5:F16)</f>
        <v>8432116.3095629998</v>
      </c>
    </row>
    <row r="19" spans="1:6" s="1" customFormat="1" ht="15.75" x14ac:dyDescent="0.25">
      <c r="A19" s="139"/>
      <c r="B19" s="158" t="s">
        <v>69</v>
      </c>
      <c r="C19" s="159"/>
      <c r="D19" s="160"/>
      <c r="E19" s="161"/>
      <c r="F19" s="162"/>
    </row>
    <row r="20" spans="1:6" s="1" customFormat="1" ht="16.5" x14ac:dyDescent="0.25">
      <c r="A20" s="139" t="s">
        <v>212</v>
      </c>
      <c r="B20" s="140" t="s">
        <v>16</v>
      </c>
      <c r="C20" s="141" t="s">
        <v>231</v>
      </c>
      <c r="D20" s="142">
        <f>(2.4+2)*(1.45+1)*1</f>
        <v>10.780000000000001</v>
      </c>
      <c r="E20" s="143">
        <v>2500</v>
      </c>
      <c r="F20" s="144">
        <f t="shared" ref="F20:F29" si="1">D20*E20</f>
        <v>26950.000000000004</v>
      </c>
    </row>
    <row r="21" spans="1:6" s="1" customFormat="1" ht="16.5" x14ac:dyDescent="0.25">
      <c r="A21" s="139" t="s">
        <v>213</v>
      </c>
      <c r="B21" s="140" t="s">
        <v>42</v>
      </c>
      <c r="C21" s="163" t="s">
        <v>231</v>
      </c>
      <c r="D21" s="146">
        <f>(2.6+0.5)*(1.7+0.25)*0.2</f>
        <v>1.2090000000000001</v>
      </c>
      <c r="E21" s="147">
        <v>55000</v>
      </c>
      <c r="F21" s="148">
        <f t="shared" si="1"/>
        <v>66495</v>
      </c>
    </row>
    <row r="22" spans="1:6" s="1" customFormat="1" ht="16.5" x14ac:dyDescent="0.25">
      <c r="A22" s="139" t="s">
        <v>214</v>
      </c>
      <c r="B22" s="140" t="s">
        <v>18</v>
      </c>
      <c r="C22" s="141" t="s">
        <v>231</v>
      </c>
      <c r="D22" s="142">
        <f>(2.6+0.5)*(1.7+0.25)*0.05</f>
        <v>0.30225000000000002</v>
      </c>
      <c r="E22" s="143">
        <v>90000</v>
      </c>
      <c r="F22" s="144">
        <f t="shared" si="1"/>
        <v>27202.5</v>
      </c>
    </row>
    <row r="23" spans="1:6" s="1" customFormat="1" ht="16.5" x14ac:dyDescent="0.25">
      <c r="A23" s="139" t="s">
        <v>215</v>
      </c>
      <c r="B23" s="145" t="s">
        <v>43</v>
      </c>
      <c r="C23" s="141" t="s">
        <v>231</v>
      </c>
      <c r="D23" s="142">
        <f>(2.6+0.2)*(1.7+0.1)*0.12  +  (2.6+0.2)*(1.7+0.1)*0.1  -0.6*0.6*0.1</f>
        <v>1.0728000000000002</v>
      </c>
      <c r="E23" s="143">
        <v>350000</v>
      </c>
      <c r="F23" s="144">
        <f t="shared" si="1"/>
        <v>375480.00000000006</v>
      </c>
    </row>
    <row r="24" spans="1:6" s="1" customFormat="1" ht="16.5" x14ac:dyDescent="0.25">
      <c r="A24" s="139" t="s">
        <v>216</v>
      </c>
      <c r="B24" s="140" t="s">
        <v>44</v>
      </c>
      <c r="C24" s="141" t="s">
        <v>231</v>
      </c>
      <c r="D24" s="142">
        <f>0.2*((1.7+0.4)*2+2.6)*1</f>
        <v>1.3600000000000003</v>
      </c>
      <c r="E24" s="143">
        <v>70000</v>
      </c>
      <c r="F24" s="144">
        <f t="shared" si="1"/>
        <v>95200.000000000029</v>
      </c>
    </row>
    <row r="25" spans="1:6" s="1" customFormat="1" ht="16.5" x14ac:dyDescent="0.25">
      <c r="A25" s="139" t="s">
        <v>217</v>
      </c>
      <c r="B25" s="164" t="s">
        <v>25</v>
      </c>
      <c r="C25" s="141" t="s">
        <v>232</v>
      </c>
      <c r="D25" s="142">
        <f>2*((1.7+0.4)*2+2.6)*1</f>
        <v>13.600000000000001</v>
      </c>
      <c r="E25" s="143">
        <v>3800</v>
      </c>
      <c r="F25" s="144">
        <f t="shared" si="1"/>
        <v>51680.000000000007</v>
      </c>
    </row>
    <row r="26" spans="1:6" s="1" customFormat="1" ht="16.5" x14ac:dyDescent="0.25">
      <c r="A26" s="139" t="s">
        <v>218</v>
      </c>
      <c r="B26" s="145" t="s">
        <v>26</v>
      </c>
      <c r="C26" s="141" t="s">
        <v>232</v>
      </c>
      <c r="D26" s="142">
        <f>(2.6+0.2)*(1.7+0.1)  -  0.6*0.6</f>
        <v>4.6800000000000006</v>
      </c>
      <c r="E26" s="143">
        <v>3800</v>
      </c>
      <c r="F26" s="144">
        <f t="shared" si="1"/>
        <v>17784.000000000004</v>
      </c>
    </row>
    <row r="27" spans="1:6" s="1" customFormat="1" ht="16.5" x14ac:dyDescent="0.25">
      <c r="A27" s="139" t="s">
        <v>219</v>
      </c>
      <c r="B27" s="140" t="s">
        <v>27</v>
      </c>
      <c r="C27" s="141" t="s">
        <v>232</v>
      </c>
      <c r="D27" s="142">
        <f>(1.7*2+2.6)*0.2</f>
        <v>1.2000000000000002</v>
      </c>
      <c r="E27" s="143">
        <v>5000</v>
      </c>
      <c r="F27" s="144">
        <f t="shared" si="1"/>
        <v>6000.0000000000009</v>
      </c>
    </row>
    <row r="28" spans="1:6" s="1" customFormat="1" ht="15.75" x14ac:dyDescent="0.25">
      <c r="A28" s="139" t="s">
        <v>220</v>
      </c>
      <c r="B28" s="140" t="s">
        <v>28</v>
      </c>
      <c r="C28" s="141" t="s">
        <v>14</v>
      </c>
      <c r="D28" s="142">
        <v>1</v>
      </c>
      <c r="E28" s="143">
        <v>80000</v>
      </c>
      <c r="F28" s="144">
        <f t="shared" si="1"/>
        <v>80000</v>
      </c>
    </row>
    <row r="29" spans="1:6" s="1" customFormat="1" ht="15.75" x14ac:dyDescent="0.25">
      <c r="A29" s="139" t="s">
        <v>221</v>
      </c>
      <c r="B29" s="140" t="s">
        <v>45</v>
      </c>
      <c r="C29" s="141" t="s">
        <v>11</v>
      </c>
      <c r="D29" s="150">
        <v>1</v>
      </c>
      <c r="E29" s="165">
        <v>20000</v>
      </c>
      <c r="F29" s="166">
        <f t="shared" si="1"/>
        <v>20000</v>
      </c>
    </row>
    <row r="30" spans="1:6" s="1" customFormat="1" ht="15.75" x14ac:dyDescent="0.25">
      <c r="A30" s="155"/>
      <c r="B30" s="149"/>
      <c r="C30" s="151"/>
      <c r="D30" s="152"/>
      <c r="E30" s="153"/>
      <c r="F30" s="154"/>
    </row>
    <row r="31" spans="1:6" s="1" customFormat="1" ht="15.75" x14ac:dyDescent="0.25">
      <c r="A31" s="139"/>
      <c r="B31" s="156" t="s">
        <v>233</v>
      </c>
      <c r="C31" s="141"/>
      <c r="D31" s="142"/>
      <c r="E31" s="143"/>
      <c r="F31" s="157">
        <f>SUM(F20:F29)</f>
        <v>766791.50000000012</v>
      </c>
    </row>
    <row r="32" spans="1:6" s="1" customFormat="1" ht="15.75" x14ac:dyDescent="0.25">
      <c r="A32" s="139"/>
      <c r="B32" s="158" t="s">
        <v>49</v>
      </c>
      <c r="C32" s="159"/>
      <c r="D32" s="160"/>
      <c r="E32" s="161"/>
      <c r="F32" s="162"/>
    </row>
    <row r="33" spans="1:41" s="1" customFormat="1" ht="16.5" x14ac:dyDescent="0.25">
      <c r="A33" s="139" t="s">
        <v>222</v>
      </c>
      <c r="B33" s="140" t="s">
        <v>16</v>
      </c>
      <c r="C33" s="163" t="s">
        <v>231</v>
      </c>
      <c r="D33" s="146">
        <f xml:space="preserve"> (1+0.8)*(1+2.15)*1</f>
        <v>5.67</v>
      </c>
      <c r="E33" s="147">
        <v>2500</v>
      </c>
      <c r="F33" s="148">
        <f t="shared" ref="F33:F40" si="2">D33*E33</f>
        <v>14175</v>
      </c>
    </row>
    <row r="34" spans="1:41" s="1" customFormat="1" ht="16.5" x14ac:dyDescent="0.25">
      <c r="A34" s="139" t="s">
        <v>223</v>
      </c>
      <c r="B34" s="140" t="s">
        <v>46</v>
      </c>
      <c r="C34" s="141" t="s">
        <v>231</v>
      </c>
      <c r="D34" s="142">
        <f>((1.2*2.35)-2*(0.2*1.55))*0.2</f>
        <v>0.43999999999999995</v>
      </c>
      <c r="E34" s="143">
        <v>55000</v>
      </c>
      <c r="F34" s="144">
        <f t="shared" si="2"/>
        <v>24199.999999999996</v>
      </c>
    </row>
    <row r="35" spans="1:41" s="1" customFormat="1" ht="16.5" x14ac:dyDescent="0.25">
      <c r="A35" s="139" t="s">
        <v>224</v>
      </c>
      <c r="B35" s="140" t="s">
        <v>18</v>
      </c>
      <c r="C35" s="141" t="s">
        <v>231</v>
      </c>
      <c r="D35" s="142">
        <f>D34/0.2*0.05</f>
        <v>0.10999999999999999</v>
      </c>
      <c r="E35" s="143">
        <v>90000</v>
      </c>
      <c r="F35" s="144">
        <f t="shared" si="2"/>
        <v>9899.9999999999982</v>
      </c>
    </row>
    <row r="36" spans="1:41" s="1" customFormat="1" ht="16.5" x14ac:dyDescent="0.25">
      <c r="A36" s="139" t="s">
        <v>225</v>
      </c>
      <c r="B36" s="140" t="s">
        <v>47</v>
      </c>
      <c r="C36" s="141" t="s">
        <v>231</v>
      </c>
      <c r="D36" s="142">
        <f>D35/0.05*0.1</f>
        <v>0.21999999999999997</v>
      </c>
      <c r="E36" s="143">
        <v>350000</v>
      </c>
      <c r="F36" s="144">
        <f t="shared" si="2"/>
        <v>76999.999999999985</v>
      </c>
    </row>
    <row r="37" spans="1:41" s="1" customFormat="1" ht="16.5" x14ac:dyDescent="0.25">
      <c r="A37" s="139" t="s">
        <v>226</v>
      </c>
      <c r="B37" s="145" t="s">
        <v>31</v>
      </c>
      <c r="C37" s="141" t="s">
        <v>231</v>
      </c>
      <c r="D37" s="142">
        <f xml:space="preserve"> 0.3*(((0.8+0.6)*0.2)-(0.2*0.2))+2*(1.55*2)*0.1*0.1</f>
        <v>0.13400000000000001</v>
      </c>
      <c r="E37" s="143">
        <v>70000</v>
      </c>
      <c r="F37" s="144">
        <f t="shared" si="2"/>
        <v>9380</v>
      </c>
    </row>
    <row r="38" spans="1:41" s="1" customFormat="1" ht="16.5" x14ac:dyDescent="0.25">
      <c r="A38" s="139" t="s">
        <v>227</v>
      </c>
      <c r="B38" s="140" t="s">
        <v>50</v>
      </c>
      <c r="C38" s="141" t="s">
        <v>232</v>
      </c>
      <c r="D38" s="142">
        <f>2*((0.8+0.6)-0.2)+((0.8+0.6)*2-0.2)+0.1*3</f>
        <v>5.3</v>
      </c>
      <c r="E38" s="143">
        <v>3800</v>
      </c>
      <c r="F38" s="144">
        <f t="shared" si="2"/>
        <v>20140</v>
      </c>
    </row>
    <row r="39" spans="1:41" s="1" customFormat="1" ht="16.5" x14ac:dyDescent="0.25">
      <c r="A39" s="139" t="s">
        <v>228</v>
      </c>
      <c r="B39" s="140" t="s">
        <v>234</v>
      </c>
      <c r="C39" s="141" t="s">
        <v>14</v>
      </c>
      <c r="D39" s="150">
        <v>1</v>
      </c>
      <c r="E39" s="165">
        <v>36000</v>
      </c>
      <c r="F39" s="166">
        <f t="shared" si="2"/>
        <v>36000</v>
      </c>
    </row>
    <row r="40" spans="1:41" s="1" customFormat="1" ht="15.75" x14ac:dyDescent="0.25">
      <c r="A40" s="139" t="s">
        <v>229</v>
      </c>
      <c r="B40" s="167" t="s">
        <v>134</v>
      </c>
      <c r="C40" s="168" t="s">
        <v>65</v>
      </c>
      <c r="D40" s="169">
        <v>1</v>
      </c>
      <c r="E40" s="170">
        <v>1700000</v>
      </c>
      <c r="F40" s="170">
        <f t="shared" si="2"/>
        <v>1700000</v>
      </c>
    </row>
    <row r="41" spans="1:41" s="1" customFormat="1" ht="15.75" x14ac:dyDescent="0.25">
      <c r="A41" s="171"/>
      <c r="B41" s="172" t="s">
        <v>233</v>
      </c>
      <c r="C41" s="173"/>
      <c r="D41" s="174"/>
      <c r="E41" s="175"/>
      <c r="F41" s="176">
        <f>SUM(F33:F40)</f>
        <v>1890795</v>
      </c>
    </row>
    <row r="42" spans="1:41" s="1" customFormat="1" ht="15.75" x14ac:dyDescent="0.25">
      <c r="A42" s="352"/>
      <c r="B42" s="353" t="s">
        <v>241</v>
      </c>
      <c r="C42" s="354"/>
      <c r="D42" s="364"/>
      <c r="E42" s="365"/>
      <c r="F42" s="357">
        <f>F18+F31+F41</f>
        <v>11089702.809563</v>
      </c>
    </row>
    <row r="43" spans="1:41" s="36" customFormat="1" ht="15.75" x14ac:dyDescent="0.25">
      <c r="A43" s="358"/>
      <c r="B43" s="359" t="s">
        <v>643</v>
      </c>
      <c r="C43" s="360"/>
      <c r="D43" s="361" t="s">
        <v>642</v>
      </c>
      <c r="E43" s="362">
        <v>1</v>
      </c>
      <c r="F43" s="363">
        <f>F42*E43</f>
        <v>11089702.809563</v>
      </c>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s="1" customFormat="1" ht="15.75" x14ac:dyDescent="0.25"/>
    <row r="45" spans="1:41" s="1" customFormat="1" ht="15.7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O41"/>
  <sheetViews>
    <sheetView topLeftCell="A10" zoomScale="70" zoomScaleNormal="70" workbookViewId="0">
      <selection activeCell="A296" sqref="A296:XFD311"/>
    </sheetView>
  </sheetViews>
  <sheetFormatPr defaultColWidth="8.85546875" defaultRowHeight="15" x14ac:dyDescent="0.25"/>
  <cols>
    <col min="1" max="1" width="9.28515625" bestFit="1" customWidth="1"/>
    <col min="2" max="2" width="71.140625" customWidth="1"/>
    <col min="3" max="3" width="4.7109375" bestFit="1" customWidth="1"/>
    <col min="4" max="4" width="16.28515625" customWidth="1"/>
    <col min="5" max="5" width="13.7109375" bestFit="1" customWidth="1"/>
    <col min="6" max="6" width="25.7109375" customWidth="1"/>
    <col min="7" max="7" width="12.42578125" bestFit="1" customWidth="1"/>
    <col min="8" max="8" width="14.85546875" bestFit="1" customWidth="1"/>
    <col min="10" max="10" width="11.28515625" bestFit="1" customWidth="1"/>
    <col min="12" max="12" width="11.28515625" bestFit="1" customWidth="1"/>
    <col min="14" max="14" width="11.28515625" bestFit="1" customWidth="1"/>
  </cols>
  <sheetData>
    <row r="2" spans="1:8" s="208" customFormat="1" ht="43.5" customHeight="1" x14ac:dyDescent="0.25">
      <c r="A2" s="316" t="s">
        <v>136</v>
      </c>
      <c r="B2" s="316" t="s">
        <v>493</v>
      </c>
      <c r="C2" s="317"/>
      <c r="D2" s="317"/>
      <c r="E2" s="318"/>
      <c r="F2" s="318"/>
      <c r="H2" s="209"/>
    </row>
    <row r="3" spans="1:8" s="208" customFormat="1" ht="15.75" x14ac:dyDescent="0.25">
      <c r="A3" s="317" t="s">
        <v>137</v>
      </c>
      <c r="B3" s="317" t="s">
        <v>265</v>
      </c>
      <c r="C3" s="317" t="s">
        <v>71</v>
      </c>
      <c r="D3" s="317">
        <f>11.3*11.3*1.2*3.14/4</f>
        <v>120.28398000000001</v>
      </c>
      <c r="E3" s="318">
        <v>2500</v>
      </c>
      <c r="F3" s="318">
        <f>D3*E3</f>
        <v>300709.95</v>
      </c>
      <c r="H3" s="209"/>
    </row>
    <row r="4" spans="1:8" s="208" customFormat="1" ht="15.75" x14ac:dyDescent="0.25">
      <c r="A4" s="317" t="s">
        <v>138</v>
      </c>
      <c r="B4" s="317" t="s">
        <v>266</v>
      </c>
      <c r="C4" s="317" t="s">
        <v>71</v>
      </c>
      <c r="D4" s="317">
        <f>9.3*9.3*0.4*3.14/4</f>
        <v>27.157860000000003</v>
      </c>
      <c r="E4" s="318">
        <v>45000</v>
      </c>
      <c r="F4" s="318">
        <f t="shared" ref="F4:F14" si="0">D4*E4</f>
        <v>1222103.7000000002</v>
      </c>
      <c r="H4" s="209"/>
    </row>
    <row r="5" spans="1:8" s="208" customFormat="1" ht="15.75" x14ac:dyDescent="0.25">
      <c r="A5" s="317" t="s">
        <v>139</v>
      </c>
      <c r="B5" s="317" t="s">
        <v>267</v>
      </c>
      <c r="C5" s="317" t="s">
        <v>71</v>
      </c>
      <c r="D5" s="317">
        <f>9*9*0.05*3.14/4</f>
        <v>3.1792500000000001</v>
      </c>
      <c r="E5" s="318">
        <v>120000</v>
      </c>
      <c r="F5" s="318">
        <f t="shared" si="0"/>
        <v>381510</v>
      </c>
      <c r="H5" s="209"/>
    </row>
    <row r="6" spans="1:8" s="208" customFormat="1" ht="15.75" x14ac:dyDescent="0.25">
      <c r="A6" s="317" t="s">
        <v>140</v>
      </c>
      <c r="B6" s="317" t="s">
        <v>268</v>
      </c>
      <c r="C6" s="317" t="s">
        <v>71</v>
      </c>
      <c r="D6" s="317">
        <f>(8.8*8.8*0.2*3.14/4)+(7.9*7.9*0.07*3.14/4)</f>
        <v>15.587509500000003</v>
      </c>
      <c r="E6" s="318">
        <v>400000</v>
      </c>
      <c r="F6" s="318">
        <f t="shared" si="0"/>
        <v>6235003.8000000007</v>
      </c>
      <c r="H6" s="209"/>
    </row>
    <row r="7" spans="1:8" s="208" customFormat="1" ht="15.75" x14ac:dyDescent="0.25">
      <c r="A7" s="317" t="s">
        <v>141</v>
      </c>
      <c r="B7" s="317" t="s">
        <v>269</v>
      </c>
      <c r="C7" s="317" t="s">
        <v>71</v>
      </c>
      <c r="D7" s="317">
        <f>((8.5^2-8^2)/4)*3.14*2.5+(((8.8^2-8.5^2)/4)*3.14*0.3)</f>
        <v>17.412870000000005</v>
      </c>
      <c r="E7" s="318">
        <v>400000</v>
      </c>
      <c r="F7" s="318">
        <f t="shared" si="0"/>
        <v>6965148.0000000019</v>
      </c>
      <c r="H7" s="209"/>
    </row>
    <row r="8" spans="1:8" s="208" customFormat="1" ht="15.75" x14ac:dyDescent="0.25">
      <c r="A8" s="317" t="s">
        <v>142</v>
      </c>
      <c r="B8" s="317" t="s">
        <v>270</v>
      </c>
      <c r="C8" s="317" t="s">
        <v>71</v>
      </c>
      <c r="D8" s="317">
        <f>(0.2*0.2*2.5)+(0.2*0.2*8.5*2)</f>
        <v>0.78000000000000014</v>
      </c>
      <c r="E8" s="318">
        <v>400000</v>
      </c>
      <c r="F8" s="318">
        <f t="shared" si="0"/>
        <v>312000.00000000006</v>
      </c>
      <c r="H8" s="209"/>
    </row>
    <row r="9" spans="1:8" s="208" customFormat="1" ht="15.75" x14ac:dyDescent="0.25">
      <c r="A9" s="317" t="s">
        <v>143</v>
      </c>
      <c r="B9" s="317" t="s">
        <v>271</v>
      </c>
      <c r="C9" s="317" t="s">
        <v>71</v>
      </c>
      <c r="D9" s="317">
        <f>8.7*8.7*0.15*3.14/4</f>
        <v>8.9124974999999971</v>
      </c>
      <c r="E9" s="318">
        <v>400000</v>
      </c>
      <c r="F9" s="318">
        <f t="shared" si="0"/>
        <v>3564998.9999999986</v>
      </c>
      <c r="H9" s="209"/>
    </row>
    <row r="10" spans="1:8" s="208" customFormat="1" ht="30" x14ac:dyDescent="0.25">
      <c r="A10" s="317" t="s">
        <v>144</v>
      </c>
      <c r="B10" s="317" t="s">
        <v>272</v>
      </c>
      <c r="C10" s="317" t="s">
        <v>72</v>
      </c>
      <c r="D10" s="317">
        <f>7.9*3.14*2.5*3</f>
        <v>186.04500000000002</v>
      </c>
      <c r="E10" s="318">
        <v>8000</v>
      </c>
      <c r="F10" s="318">
        <f t="shared" si="0"/>
        <v>1488360.0000000002</v>
      </c>
      <c r="H10" s="209"/>
    </row>
    <row r="11" spans="1:8" s="208" customFormat="1" ht="30" x14ac:dyDescent="0.25">
      <c r="A11" s="317" t="s">
        <v>145</v>
      </c>
      <c r="B11" s="317" t="s">
        <v>273</v>
      </c>
      <c r="C11" s="317" t="s">
        <v>72</v>
      </c>
      <c r="D11" s="317">
        <f>8.5*3.14*2.5</f>
        <v>66.725000000000009</v>
      </c>
      <c r="E11" s="318">
        <v>5200</v>
      </c>
      <c r="F11" s="318">
        <f t="shared" si="0"/>
        <v>346970.00000000006</v>
      </c>
      <c r="H11" s="209"/>
    </row>
    <row r="12" spans="1:8" s="208" customFormat="1" ht="30" x14ac:dyDescent="0.25">
      <c r="A12" s="317" t="s">
        <v>146</v>
      </c>
      <c r="B12" s="317" t="s">
        <v>274</v>
      </c>
      <c r="C12" s="317" t="s">
        <v>275</v>
      </c>
      <c r="D12" s="317">
        <v>2</v>
      </c>
      <c r="E12" s="318">
        <v>120000</v>
      </c>
      <c r="F12" s="318">
        <f t="shared" si="0"/>
        <v>240000</v>
      </c>
      <c r="H12" s="209"/>
    </row>
    <row r="13" spans="1:8" s="208" customFormat="1" ht="30" x14ac:dyDescent="0.25">
      <c r="A13" s="317" t="s">
        <v>147</v>
      </c>
      <c r="B13" s="317" t="s">
        <v>276</v>
      </c>
      <c r="C13" s="317" t="s">
        <v>275</v>
      </c>
      <c r="D13" s="317">
        <v>1</v>
      </c>
      <c r="E13" s="318">
        <v>300000</v>
      </c>
      <c r="F13" s="318">
        <f t="shared" si="0"/>
        <v>300000</v>
      </c>
      <c r="H13" s="209"/>
    </row>
    <row r="14" spans="1:8" s="208" customFormat="1" ht="30" x14ac:dyDescent="0.25">
      <c r="A14" s="317" t="s">
        <v>148</v>
      </c>
      <c r="B14" s="317" t="s">
        <v>277</v>
      </c>
      <c r="C14" s="317" t="s">
        <v>278</v>
      </c>
      <c r="D14" s="317">
        <v>1</v>
      </c>
      <c r="E14" s="318">
        <v>50000</v>
      </c>
      <c r="F14" s="318">
        <f t="shared" si="0"/>
        <v>50000</v>
      </c>
      <c r="H14" s="209"/>
    </row>
    <row r="15" spans="1:8" s="208" customFormat="1" ht="30" x14ac:dyDescent="0.25">
      <c r="A15" s="317" t="s">
        <v>149</v>
      </c>
      <c r="B15" s="316" t="s">
        <v>279</v>
      </c>
      <c r="C15" s="317"/>
      <c r="D15" s="317"/>
      <c r="E15" s="318"/>
      <c r="F15" s="318"/>
      <c r="H15" s="209"/>
    </row>
    <row r="16" spans="1:8" s="208" customFormat="1" ht="30" x14ac:dyDescent="0.25">
      <c r="A16" s="317" t="s">
        <v>150</v>
      </c>
      <c r="B16" s="317" t="s">
        <v>265</v>
      </c>
      <c r="C16" s="317" t="s">
        <v>71</v>
      </c>
      <c r="D16" s="317">
        <f>3.8*3.8*1.6</f>
        <v>23.103999999999999</v>
      </c>
      <c r="E16" s="318">
        <v>2500</v>
      </c>
      <c r="F16" s="318">
        <f t="shared" ref="F16:F22" si="1">E16*D16</f>
        <v>57760</v>
      </c>
      <c r="H16" s="209"/>
    </row>
    <row r="17" spans="1:8" s="208" customFormat="1" ht="30" x14ac:dyDescent="0.25">
      <c r="A17" s="317" t="s">
        <v>151</v>
      </c>
      <c r="B17" s="317" t="s">
        <v>280</v>
      </c>
      <c r="C17" s="317" t="s">
        <v>71</v>
      </c>
      <c r="D17" s="317">
        <f>2.8*2.8*0.2</f>
        <v>1.5679999999999998</v>
      </c>
      <c r="E17" s="318">
        <v>45000</v>
      </c>
      <c r="F17" s="318">
        <f t="shared" si="1"/>
        <v>70560</v>
      </c>
      <c r="H17" s="209"/>
    </row>
    <row r="18" spans="1:8" s="208" customFormat="1" ht="30" x14ac:dyDescent="0.25">
      <c r="A18" s="317" t="s">
        <v>152</v>
      </c>
      <c r="B18" s="317" t="s">
        <v>267</v>
      </c>
      <c r="C18" s="317" t="s">
        <v>71</v>
      </c>
      <c r="D18" s="317">
        <f>2.8*2.8*0.05</f>
        <v>0.39199999999999996</v>
      </c>
      <c r="E18" s="318">
        <v>120000</v>
      </c>
      <c r="F18" s="318">
        <f t="shared" si="1"/>
        <v>47039.999999999993</v>
      </c>
      <c r="H18" s="209"/>
    </row>
    <row r="19" spans="1:8" s="208" customFormat="1" ht="30" x14ac:dyDescent="0.25">
      <c r="A19" s="317" t="s">
        <v>153</v>
      </c>
      <c r="B19" s="317" t="s">
        <v>268</v>
      </c>
      <c r="C19" s="317" t="s">
        <v>71</v>
      </c>
      <c r="D19" s="317">
        <f>2.6*2.6*0.1</f>
        <v>0.67600000000000016</v>
      </c>
      <c r="E19" s="318">
        <v>400000</v>
      </c>
      <c r="F19" s="318">
        <f t="shared" si="1"/>
        <v>270400.00000000006</v>
      </c>
      <c r="H19" s="209"/>
    </row>
    <row r="20" spans="1:8" s="208" customFormat="1" ht="30" x14ac:dyDescent="0.25">
      <c r="A20" s="317" t="s">
        <v>154</v>
      </c>
      <c r="B20" s="317" t="s">
        <v>281</v>
      </c>
      <c r="C20" s="317" t="s">
        <v>71</v>
      </c>
      <c r="D20" s="317">
        <f>2.6*4*0.3*1.2</f>
        <v>3.7439999999999998</v>
      </c>
      <c r="E20" s="318">
        <v>90000</v>
      </c>
      <c r="F20" s="318">
        <f t="shared" si="1"/>
        <v>336960</v>
      </c>
      <c r="H20" s="209"/>
    </row>
    <row r="21" spans="1:8" s="208" customFormat="1" ht="30" x14ac:dyDescent="0.25">
      <c r="A21" s="317" t="s">
        <v>155</v>
      </c>
      <c r="B21" s="317" t="s">
        <v>271</v>
      </c>
      <c r="C21" s="317" t="s">
        <v>71</v>
      </c>
      <c r="D21" s="317">
        <f>2.8*2.8*0.1</f>
        <v>0.78399999999999992</v>
      </c>
      <c r="E21" s="318">
        <v>400000</v>
      </c>
      <c r="F21" s="318">
        <f t="shared" si="1"/>
        <v>313599.99999999994</v>
      </c>
      <c r="H21" s="209"/>
    </row>
    <row r="22" spans="1:8" s="208" customFormat="1" ht="30" x14ac:dyDescent="0.25">
      <c r="A22" s="317" t="s">
        <v>156</v>
      </c>
      <c r="B22" s="317" t="s">
        <v>282</v>
      </c>
      <c r="C22" s="317" t="s">
        <v>283</v>
      </c>
      <c r="D22" s="317">
        <f>2*4*1.2</f>
        <v>9.6</v>
      </c>
      <c r="E22" s="318">
        <v>5200</v>
      </c>
      <c r="F22" s="318">
        <f t="shared" si="1"/>
        <v>49920</v>
      </c>
      <c r="H22" s="209"/>
    </row>
    <row r="23" spans="1:8" s="208" customFormat="1" ht="30" x14ac:dyDescent="0.25">
      <c r="A23" s="317" t="s">
        <v>157</v>
      </c>
      <c r="B23" s="317" t="s">
        <v>284</v>
      </c>
      <c r="C23" s="317" t="s">
        <v>283</v>
      </c>
      <c r="D23" s="317">
        <f>2.6*4*1.2</f>
        <v>12.48</v>
      </c>
      <c r="E23" s="318">
        <v>3500</v>
      </c>
      <c r="F23" s="318">
        <f>E23*D23</f>
        <v>43680</v>
      </c>
      <c r="H23" s="209"/>
    </row>
    <row r="24" spans="1:8" s="208" customFormat="1" ht="30" x14ac:dyDescent="0.25">
      <c r="A24" s="317" t="s">
        <v>158</v>
      </c>
      <c r="B24" s="317" t="s">
        <v>285</v>
      </c>
      <c r="C24" s="317" t="s">
        <v>286</v>
      </c>
      <c r="D24" s="317">
        <v>1</v>
      </c>
      <c r="E24" s="318">
        <v>100000</v>
      </c>
      <c r="F24" s="318">
        <f>E24*D24</f>
        <v>100000</v>
      </c>
      <c r="G24" s="719"/>
      <c r="H24" s="209"/>
    </row>
    <row r="25" spans="1:8" s="208" customFormat="1" ht="30" x14ac:dyDescent="0.25">
      <c r="A25" s="317" t="s">
        <v>264</v>
      </c>
      <c r="B25" s="316" t="s">
        <v>287</v>
      </c>
      <c r="C25" s="317"/>
      <c r="D25" s="317"/>
      <c r="E25" s="318"/>
      <c r="F25" s="318"/>
      <c r="H25" s="209"/>
    </row>
    <row r="26" spans="1:8" s="208" customFormat="1" ht="30" x14ac:dyDescent="0.25">
      <c r="A26" s="317" t="s">
        <v>159</v>
      </c>
      <c r="B26" s="317" t="s">
        <v>16</v>
      </c>
      <c r="C26" s="317" t="s">
        <v>288</v>
      </c>
      <c r="D26" s="317">
        <f xml:space="preserve"> (1+0.8)*(1+1.2)*1*0.6</f>
        <v>2.3760000000000003</v>
      </c>
      <c r="E26" s="318">
        <v>2500</v>
      </c>
      <c r="F26" s="318">
        <f t="shared" ref="F26:F33" si="2">D26*E26</f>
        <v>5940.0000000000009</v>
      </c>
      <c r="H26" s="209"/>
    </row>
    <row r="27" spans="1:8" s="208" customFormat="1" ht="30" x14ac:dyDescent="0.25">
      <c r="A27" s="317" t="s">
        <v>160</v>
      </c>
      <c r="B27" s="317" t="s">
        <v>289</v>
      </c>
      <c r="C27" s="317" t="s">
        <v>288</v>
      </c>
      <c r="D27" s="317">
        <f>1.2*0.8*0.2</f>
        <v>0.192</v>
      </c>
      <c r="E27" s="318">
        <v>70000</v>
      </c>
      <c r="F27" s="318">
        <f t="shared" si="2"/>
        <v>13440</v>
      </c>
      <c r="H27" s="209"/>
    </row>
    <row r="28" spans="1:8" s="208" customFormat="1" ht="30" x14ac:dyDescent="0.25">
      <c r="A28" s="317" t="s">
        <v>161</v>
      </c>
      <c r="B28" s="317" t="s">
        <v>18</v>
      </c>
      <c r="C28" s="317" t="s">
        <v>288</v>
      </c>
      <c r="D28" s="317">
        <f>1.2*0.8*0.05</f>
        <v>4.8000000000000001E-2</v>
      </c>
      <c r="E28" s="318">
        <v>120000</v>
      </c>
      <c r="F28" s="318">
        <f t="shared" si="2"/>
        <v>5760</v>
      </c>
      <c r="H28" s="209"/>
    </row>
    <row r="29" spans="1:8" s="208" customFormat="1" ht="30" x14ac:dyDescent="0.25">
      <c r="A29" s="317" t="s">
        <v>162</v>
      </c>
      <c r="B29" s="317" t="s">
        <v>47</v>
      </c>
      <c r="C29" s="317" t="s">
        <v>288</v>
      </c>
      <c r="D29" s="317">
        <f>D28/0.05*0.1*1.05</f>
        <v>0.1008</v>
      </c>
      <c r="E29" s="318">
        <v>400000</v>
      </c>
      <c r="F29" s="318">
        <f t="shared" si="2"/>
        <v>40320</v>
      </c>
      <c r="H29" s="209"/>
    </row>
    <row r="30" spans="1:8" s="208" customFormat="1" ht="30" x14ac:dyDescent="0.25">
      <c r="A30" s="317" t="s">
        <v>163</v>
      </c>
      <c r="B30" s="317" t="s">
        <v>290</v>
      </c>
      <c r="C30" s="317" t="s">
        <v>288</v>
      </c>
      <c r="D30" s="317">
        <f>2.8*0.6*0.3</f>
        <v>0.504</v>
      </c>
      <c r="E30" s="318">
        <v>90000</v>
      </c>
      <c r="F30" s="318">
        <f t="shared" si="2"/>
        <v>45360</v>
      </c>
      <c r="H30" s="209"/>
    </row>
    <row r="31" spans="1:8" s="208" customFormat="1" ht="30" x14ac:dyDescent="0.25">
      <c r="A31" s="317" t="s">
        <v>164</v>
      </c>
      <c r="B31" s="317" t="s">
        <v>1083</v>
      </c>
      <c r="C31" s="317" t="s">
        <v>292</v>
      </c>
      <c r="D31" s="317">
        <f>2.8*0.6</f>
        <v>1.68</v>
      </c>
      <c r="E31" s="318">
        <v>5200</v>
      </c>
      <c r="F31" s="318">
        <f t="shared" si="2"/>
        <v>8736</v>
      </c>
      <c r="H31" s="209"/>
    </row>
    <row r="32" spans="1:8" s="208" customFormat="1" ht="30" x14ac:dyDescent="0.25">
      <c r="A32" s="317" t="s">
        <v>165</v>
      </c>
      <c r="B32" s="317" t="s">
        <v>1082</v>
      </c>
      <c r="C32" s="317" t="s">
        <v>190</v>
      </c>
      <c r="D32" s="317">
        <v>1</v>
      </c>
      <c r="E32" s="318">
        <v>36000</v>
      </c>
      <c r="F32" s="318">
        <f t="shared" si="2"/>
        <v>36000</v>
      </c>
      <c r="H32" s="209"/>
    </row>
    <row r="33" spans="1:41" s="208" customFormat="1" ht="33" x14ac:dyDescent="0.25">
      <c r="A33" s="317" t="s">
        <v>240</v>
      </c>
      <c r="B33" s="317" t="s">
        <v>1084</v>
      </c>
      <c r="C33" s="317" t="s">
        <v>278</v>
      </c>
      <c r="D33" s="317">
        <v>1</v>
      </c>
      <c r="E33" s="318">
        <v>12000000</v>
      </c>
      <c r="F33" s="318">
        <f t="shared" si="2"/>
        <v>12000000</v>
      </c>
      <c r="H33" s="209"/>
    </row>
    <row r="34" spans="1:41" s="1" customFormat="1" ht="19.5" x14ac:dyDescent="0.25">
      <c r="A34" s="352"/>
      <c r="B34" s="353" t="s">
        <v>494</v>
      </c>
      <c r="C34" s="354"/>
      <c r="D34" s="355"/>
      <c r="E34" s="356"/>
      <c r="F34" s="715">
        <f>SUM(F3:F33)</f>
        <v>34852280.450000003</v>
      </c>
    </row>
    <row r="35" spans="1:41" s="36" customFormat="1" ht="20.25" customHeight="1" x14ac:dyDescent="0.25">
      <c r="A35" s="358"/>
      <c r="B35" s="359" t="s">
        <v>849</v>
      </c>
      <c r="C35" s="360"/>
      <c r="D35" s="718" t="s">
        <v>642</v>
      </c>
      <c r="E35" s="717">
        <v>66</v>
      </c>
      <c r="F35" s="716">
        <f>F34*E35</f>
        <v>2300250509.7000003</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s="2" customFormat="1" ht="15.75" x14ac:dyDescent="0.25"/>
    <row r="37" spans="1:41" s="2" customFormat="1" ht="15.75" x14ac:dyDescent="0.25"/>
    <row r="38" spans="1:41" s="2" customFormat="1" ht="15.75" x14ac:dyDescent="0.25"/>
    <row r="39" spans="1:41" s="2" customFormat="1" ht="15.75" x14ac:dyDescent="0.25"/>
    <row r="40" spans="1:41" s="2" customFormat="1" ht="15.75" x14ac:dyDescent="0.25"/>
    <row r="41" spans="1:41" s="2" customFormat="1" ht="15.75" x14ac:dyDescent="0.25"/>
  </sheetData>
  <phoneticPr fontId="44"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O40"/>
  <sheetViews>
    <sheetView workbookViewId="0">
      <selection activeCell="B30" sqref="B30"/>
    </sheetView>
  </sheetViews>
  <sheetFormatPr defaultRowHeight="15" x14ac:dyDescent="0.25"/>
  <cols>
    <col min="1" max="1" width="9.7109375" customWidth="1"/>
    <col min="2" max="2" width="96.28515625" customWidth="1"/>
    <col min="3" max="3" width="11.85546875" customWidth="1"/>
    <col min="5" max="5" width="15.42578125" customWidth="1"/>
    <col min="6" max="6" width="15.85546875" customWidth="1"/>
    <col min="7" max="7" width="15.140625" bestFit="1" customWidth="1"/>
    <col min="8" max="8" width="13.85546875" bestFit="1" customWidth="1"/>
    <col min="10" max="10" width="11.28515625" bestFit="1" customWidth="1"/>
  </cols>
  <sheetData>
    <row r="2" spans="1:6" s="2" customFormat="1" ht="15.75" x14ac:dyDescent="0.25">
      <c r="A2" s="298" t="s">
        <v>455</v>
      </c>
      <c r="B2" s="183" t="s">
        <v>456</v>
      </c>
      <c r="C2" s="33"/>
      <c r="D2" s="184"/>
      <c r="E2" s="34"/>
      <c r="F2" s="299"/>
    </row>
    <row r="3" spans="1:6" s="2" customFormat="1" ht="31.5" x14ac:dyDescent="0.25">
      <c r="A3" s="83" t="s">
        <v>457</v>
      </c>
      <c r="B3" s="32" t="s">
        <v>16</v>
      </c>
      <c r="C3" s="33" t="s">
        <v>195</v>
      </c>
      <c r="D3" s="107">
        <v>136.43</v>
      </c>
      <c r="E3" s="34">
        <v>2500</v>
      </c>
      <c r="F3" s="300">
        <f t="shared" ref="F3:F14" si="0">D3*E3</f>
        <v>341075</v>
      </c>
    </row>
    <row r="4" spans="1:6" s="2" customFormat="1" ht="31.5" x14ac:dyDescent="0.25">
      <c r="A4" s="83" t="s">
        <v>458</v>
      </c>
      <c r="B4" s="26" t="s">
        <v>17</v>
      </c>
      <c r="C4" s="27" t="s">
        <v>195</v>
      </c>
      <c r="D4" s="106">
        <f>(3.14/4)*(8.9)^2*0.3</f>
        <v>18.653955000000003</v>
      </c>
      <c r="E4" s="29">
        <v>55000</v>
      </c>
      <c r="F4" s="301">
        <f t="shared" si="0"/>
        <v>1025967.5250000001</v>
      </c>
    </row>
    <row r="5" spans="1:6" s="2" customFormat="1" ht="18.75" x14ac:dyDescent="0.25">
      <c r="A5" s="83" t="s">
        <v>459</v>
      </c>
      <c r="B5" s="61" t="s">
        <v>18</v>
      </c>
      <c r="C5" s="27" t="s">
        <v>195</v>
      </c>
      <c r="D5" s="106">
        <f>(3.14/4)*(8.9)^2*0.05</f>
        <v>3.1089925000000007</v>
      </c>
      <c r="E5" s="29">
        <v>90000</v>
      </c>
      <c r="F5" s="301">
        <f t="shared" si="0"/>
        <v>279809.32500000007</v>
      </c>
    </row>
    <row r="6" spans="1:6" s="2" customFormat="1" ht="18.75" x14ac:dyDescent="0.25">
      <c r="A6" s="83" t="s">
        <v>460</v>
      </c>
      <c r="B6" s="26" t="s">
        <v>256</v>
      </c>
      <c r="C6" s="27" t="s">
        <v>195</v>
      </c>
      <c r="D6" s="106">
        <f>((3.14/4)*(8.9)^2*0.2)+(3.14*8.7*0.5*0.3)+(3*0.3*0.3)</f>
        <v>16.80367</v>
      </c>
      <c r="E6" s="29">
        <v>400000</v>
      </c>
      <c r="F6" s="301">
        <f t="shared" si="0"/>
        <v>6721468</v>
      </c>
    </row>
    <row r="7" spans="1:6" s="2" customFormat="1" ht="18.75" x14ac:dyDescent="0.25">
      <c r="A7" s="83" t="s">
        <v>461</v>
      </c>
      <c r="B7" s="26" t="s">
        <v>19</v>
      </c>
      <c r="C7" s="27" t="s">
        <v>195</v>
      </c>
      <c r="D7" s="106">
        <f>(3.14/4)*(9)^2*0.2</f>
        <v>12.717000000000001</v>
      </c>
      <c r="E7" s="29">
        <v>350000</v>
      </c>
      <c r="F7" s="301">
        <f t="shared" si="0"/>
        <v>4450950</v>
      </c>
    </row>
    <row r="8" spans="1:6" s="2" customFormat="1" ht="18.75" x14ac:dyDescent="0.25">
      <c r="A8" s="83" t="s">
        <v>462</v>
      </c>
      <c r="B8" s="26" t="s">
        <v>20</v>
      </c>
      <c r="C8" s="27" t="s">
        <v>195</v>
      </c>
      <c r="D8" s="106">
        <f>(3.14*8.7*0.5*3)</f>
        <v>40.976999999999997</v>
      </c>
      <c r="E8" s="29">
        <v>70000</v>
      </c>
      <c r="F8" s="301">
        <f t="shared" si="0"/>
        <v>2868390</v>
      </c>
    </row>
    <row r="9" spans="1:6" s="2" customFormat="1" ht="18.75" x14ac:dyDescent="0.25">
      <c r="A9" s="83" t="s">
        <v>463</v>
      </c>
      <c r="B9" s="26" t="s">
        <v>21</v>
      </c>
      <c r="C9" s="27" t="s">
        <v>194</v>
      </c>
      <c r="D9" s="106">
        <f>((3.14/4)*(8^2))+(3.14*8*3)+(4*0.3*3)</f>
        <v>129.19999999999999</v>
      </c>
      <c r="E9" s="29">
        <v>5000</v>
      </c>
      <c r="F9" s="301">
        <f t="shared" si="0"/>
        <v>646000</v>
      </c>
    </row>
    <row r="10" spans="1:6" s="302" customFormat="1" ht="18.75" x14ac:dyDescent="0.25">
      <c r="A10" s="83" t="s">
        <v>464</v>
      </c>
      <c r="B10" s="26" t="s">
        <v>73</v>
      </c>
      <c r="C10" s="27" t="s">
        <v>194</v>
      </c>
      <c r="D10" s="106">
        <f>D9</f>
        <v>129.19999999999999</v>
      </c>
      <c r="E10" s="29">
        <v>10000</v>
      </c>
      <c r="F10" s="301">
        <f t="shared" si="0"/>
        <v>1292000</v>
      </c>
    </row>
    <row r="11" spans="1:6" s="2" customFormat="1" ht="18.75" x14ac:dyDescent="0.25">
      <c r="A11" s="83" t="s">
        <v>465</v>
      </c>
      <c r="B11" s="61" t="s">
        <v>22</v>
      </c>
      <c r="C11" s="77" t="s">
        <v>194</v>
      </c>
      <c r="D11" s="106">
        <f>((3.14/4)*(9)^2)+(3.14*9*0.2)+(3.14*9*0.15)</f>
        <v>73.475999999999999</v>
      </c>
      <c r="E11" s="29">
        <v>3800</v>
      </c>
      <c r="F11" s="303">
        <f t="shared" si="0"/>
        <v>279208.8</v>
      </c>
    </row>
    <row r="12" spans="1:6" s="2" customFormat="1" ht="18.75" x14ac:dyDescent="0.25">
      <c r="A12" s="83" t="s">
        <v>466</v>
      </c>
      <c r="B12" s="61" t="s">
        <v>23</v>
      </c>
      <c r="C12" s="77" t="s">
        <v>194</v>
      </c>
      <c r="D12" s="106">
        <f>3.14*8.7*0.5</f>
        <v>13.658999999999999</v>
      </c>
      <c r="E12" s="29">
        <v>5000</v>
      </c>
      <c r="F12" s="303">
        <f t="shared" si="0"/>
        <v>68295</v>
      </c>
    </row>
    <row r="13" spans="1:6" s="2" customFormat="1" ht="31.5" x14ac:dyDescent="0.25">
      <c r="A13" s="83" t="s">
        <v>467</v>
      </c>
      <c r="B13" s="37" t="s">
        <v>257</v>
      </c>
      <c r="C13" s="27" t="s">
        <v>14</v>
      </c>
      <c r="D13" s="106">
        <v>2</v>
      </c>
      <c r="E13" s="29">
        <v>100000</v>
      </c>
      <c r="F13" s="301">
        <f t="shared" si="0"/>
        <v>200000</v>
      </c>
    </row>
    <row r="14" spans="1:6" s="2" customFormat="1" ht="15.75" x14ac:dyDescent="0.25">
      <c r="A14" s="83" t="s">
        <v>468</v>
      </c>
      <c r="B14" s="52" t="s">
        <v>24</v>
      </c>
      <c r="C14" s="27" t="s">
        <v>190</v>
      </c>
      <c r="D14" s="304">
        <v>1</v>
      </c>
      <c r="E14" s="29">
        <v>140000</v>
      </c>
      <c r="F14" s="301">
        <f t="shared" si="0"/>
        <v>140000</v>
      </c>
    </row>
    <row r="15" spans="1:6" s="2" customFormat="1" ht="15.75" x14ac:dyDescent="0.25">
      <c r="A15" s="51"/>
      <c r="B15" s="52"/>
      <c r="C15" s="53"/>
      <c r="D15" s="202"/>
      <c r="E15" s="206"/>
      <c r="F15" s="301"/>
    </row>
    <row r="16" spans="1:6" s="2" customFormat="1" ht="15.75" x14ac:dyDescent="0.25">
      <c r="A16" s="51"/>
      <c r="B16" s="228" t="s">
        <v>258</v>
      </c>
      <c r="C16" s="108"/>
      <c r="D16" s="305"/>
      <c r="E16" s="186"/>
      <c r="F16" s="230"/>
    </row>
    <row r="17" spans="1:6" s="2" customFormat="1" ht="31.5" x14ac:dyDescent="0.25">
      <c r="A17" s="25" t="s">
        <v>469</v>
      </c>
      <c r="B17" s="26" t="s">
        <v>16</v>
      </c>
      <c r="C17" s="27" t="s">
        <v>195</v>
      </c>
      <c r="D17" s="106">
        <f>(2.2+1)*(1.45+1)*3</f>
        <v>23.520000000000003</v>
      </c>
      <c r="E17" s="29">
        <v>2500</v>
      </c>
      <c r="F17" s="30">
        <f>D17*E17</f>
        <v>58800.000000000007</v>
      </c>
    </row>
    <row r="18" spans="1:6" s="2" customFormat="1" ht="31.5" x14ac:dyDescent="0.25">
      <c r="A18" s="25" t="s">
        <v>470</v>
      </c>
      <c r="B18" s="26" t="s">
        <v>392</v>
      </c>
      <c r="C18" s="27" t="s">
        <v>195</v>
      </c>
      <c r="D18" s="106">
        <f>(2.2+0.5)*(1.2+0.25)*0.2</f>
        <v>0.78300000000000003</v>
      </c>
      <c r="E18" s="29">
        <v>55000</v>
      </c>
      <c r="F18" s="30">
        <f t="shared" ref="F18:F26" si="1">D18*E18</f>
        <v>43065</v>
      </c>
    </row>
    <row r="19" spans="1:6" s="302" customFormat="1" ht="18.75" x14ac:dyDescent="0.25">
      <c r="A19" s="25" t="s">
        <v>471</v>
      </c>
      <c r="B19" s="61" t="s">
        <v>18</v>
      </c>
      <c r="C19" s="27" t="s">
        <v>195</v>
      </c>
      <c r="D19" s="106">
        <f>(2.2+0.5)*(1.2+0.25)*0.05</f>
        <v>0.19575000000000001</v>
      </c>
      <c r="E19" s="29">
        <v>90000</v>
      </c>
      <c r="F19" s="30">
        <f t="shared" si="1"/>
        <v>17617.5</v>
      </c>
    </row>
    <row r="20" spans="1:6" s="2" customFormat="1" ht="18.75" x14ac:dyDescent="0.25">
      <c r="A20" s="25" t="s">
        <v>472</v>
      </c>
      <c r="B20" s="26" t="s">
        <v>473</v>
      </c>
      <c r="C20" s="27" t="s">
        <v>195</v>
      </c>
      <c r="D20" s="106">
        <f>2*(2.2+0.2)*(1.2+0.1)*0.2</f>
        <v>1.2480000000000002</v>
      </c>
      <c r="E20" s="29">
        <v>350000</v>
      </c>
      <c r="F20" s="30">
        <f t="shared" si="1"/>
        <v>436800.00000000006</v>
      </c>
    </row>
    <row r="21" spans="1:6" s="302" customFormat="1" ht="18.75" x14ac:dyDescent="0.25">
      <c r="A21" s="25" t="s">
        <v>474</v>
      </c>
      <c r="B21" s="26" t="s">
        <v>20</v>
      </c>
      <c r="C21" s="27" t="s">
        <v>195</v>
      </c>
      <c r="D21" s="106">
        <f>0.2*((1.2+1.8)*2+2.2)*1</f>
        <v>1.64</v>
      </c>
      <c r="E21" s="29">
        <v>70000</v>
      </c>
      <c r="F21" s="30">
        <f t="shared" si="1"/>
        <v>114800</v>
      </c>
    </row>
    <row r="22" spans="1:6" s="2" customFormat="1" ht="31.5" x14ac:dyDescent="0.25">
      <c r="A22" s="25" t="s">
        <v>475</v>
      </c>
      <c r="B22" s="26" t="s">
        <v>25</v>
      </c>
      <c r="C22" s="27" t="s">
        <v>194</v>
      </c>
      <c r="D22" s="106">
        <f>2*((1.2+0.4)*2+2.2)*1</f>
        <v>10.8</v>
      </c>
      <c r="E22" s="29">
        <v>3800</v>
      </c>
      <c r="F22" s="30">
        <f t="shared" si="1"/>
        <v>41040</v>
      </c>
    </row>
    <row r="23" spans="1:6" s="2" customFormat="1" ht="18.75" x14ac:dyDescent="0.25">
      <c r="A23" s="25" t="s">
        <v>476</v>
      </c>
      <c r="B23" s="61" t="s">
        <v>26</v>
      </c>
      <c r="C23" s="27" t="s">
        <v>194</v>
      </c>
      <c r="D23" s="106">
        <f>(2.3+0.2)*(1.4+0.1)</f>
        <v>3.75</v>
      </c>
      <c r="E23" s="29">
        <v>3800</v>
      </c>
      <c r="F23" s="30">
        <f t="shared" si="1"/>
        <v>14250</v>
      </c>
    </row>
    <row r="24" spans="1:6" s="2" customFormat="1" ht="18.75" x14ac:dyDescent="0.25">
      <c r="A24" s="25" t="s">
        <v>477</v>
      </c>
      <c r="B24" s="26" t="s">
        <v>27</v>
      </c>
      <c r="C24" s="27" t="s">
        <v>194</v>
      </c>
      <c r="D24" s="106">
        <f>(2.3*2+2.6)*0.2</f>
        <v>1.44</v>
      </c>
      <c r="E24" s="29">
        <v>5000</v>
      </c>
      <c r="F24" s="30">
        <f t="shared" si="1"/>
        <v>7200</v>
      </c>
    </row>
    <row r="25" spans="1:6" s="2" customFormat="1" ht="31.5" x14ac:dyDescent="0.25">
      <c r="A25" s="25" t="s">
        <v>478</v>
      </c>
      <c r="B25" s="26" t="s">
        <v>28</v>
      </c>
      <c r="C25" s="27" t="s">
        <v>14</v>
      </c>
      <c r="D25" s="106">
        <v>1</v>
      </c>
      <c r="E25" s="29">
        <v>80000</v>
      </c>
      <c r="F25" s="30">
        <f t="shared" si="1"/>
        <v>80000</v>
      </c>
    </row>
    <row r="26" spans="1:6" s="2" customFormat="1" ht="31.5" x14ac:dyDescent="0.25">
      <c r="A26" s="25" t="s">
        <v>479</v>
      </c>
      <c r="B26" s="26" t="s">
        <v>480</v>
      </c>
      <c r="C26" s="27" t="s">
        <v>11</v>
      </c>
      <c r="D26" s="106">
        <v>1</v>
      </c>
      <c r="E26" s="29">
        <v>20000</v>
      </c>
      <c r="F26" s="30">
        <f t="shared" si="1"/>
        <v>20000</v>
      </c>
    </row>
    <row r="27" spans="1:6" s="2" customFormat="1" ht="15.75" x14ac:dyDescent="0.25">
      <c r="A27" s="51"/>
      <c r="B27" s="52"/>
      <c r="C27" s="53"/>
      <c r="D27" s="202"/>
      <c r="E27" s="206"/>
      <c r="F27" s="301"/>
    </row>
    <row r="28" spans="1:6" s="2" customFormat="1" ht="15.75" x14ac:dyDescent="0.25">
      <c r="A28" s="51"/>
      <c r="B28" s="228" t="s">
        <v>389</v>
      </c>
      <c r="C28" s="108"/>
      <c r="D28" s="305"/>
      <c r="E28" s="186"/>
      <c r="F28" s="230"/>
    </row>
    <row r="29" spans="1:6" s="2" customFormat="1" ht="31.5" x14ac:dyDescent="0.25">
      <c r="A29" s="25" t="s">
        <v>481</v>
      </c>
      <c r="B29" s="26" t="s">
        <v>16</v>
      </c>
      <c r="C29" s="27" t="s">
        <v>195</v>
      </c>
      <c r="D29" s="106">
        <f xml:space="preserve"> (1+0.8)*(1+2.15)*1</f>
        <v>5.67</v>
      </c>
      <c r="E29" s="29">
        <v>2500</v>
      </c>
      <c r="F29" s="30">
        <f t="shared" ref="F29:F38" si="2">D29*E29</f>
        <v>14175</v>
      </c>
    </row>
    <row r="30" spans="1:6" s="2" customFormat="1" ht="31.5" x14ac:dyDescent="0.25">
      <c r="A30" s="25" t="s">
        <v>482</v>
      </c>
      <c r="B30" s="26" t="s">
        <v>392</v>
      </c>
      <c r="C30" s="27" t="s">
        <v>195</v>
      </c>
      <c r="D30" s="106">
        <f>((1.2*2.35)-2*(0.2*1.55))*0.2</f>
        <v>0.43999999999999995</v>
      </c>
      <c r="E30" s="29">
        <v>55000</v>
      </c>
      <c r="F30" s="30">
        <f t="shared" si="2"/>
        <v>24199.999999999996</v>
      </c>
    </row>
    <row r="31" spans="1:6" s="2" customFormat="1" ht="18.75" x14ac:dyDescent="0.25">
      <c r="A31" s="25" t="s">
        <v>483</v>
      </c>
      <c r="B31" s="61" t="s">
        <v>18</v>
      </c>
      <c r="C31" s="27" t="s">
        <v>195</v>
      </c>
      <c r="D31" s="106">
        <f>D30/0.2*0.05</f>
        <v>0.10999999999999999</v>
      </c>
      <c r="E31" s="29">
        <v>90000</v>
      </c>
      <c r="F31" s="30">
        <f t="shared" si="2"/>
        <v>9899.9999999999982</v>
      </c>
    </row>
    <row r="32" spans="1:6" s="2" customFormat="1" ht="18.75" x14ac:dyDescent="0.25">
      <c r="A32" s="25" t="s">
        <v>484</v>
      </c>
      <c r="B32" s="26" t="s">
        <v>29</v>
      </c>
      <c r="C32" s="27" t="s">
        <v>195</v>
      </c>
      <c r="D32" s="106">
        <f>D31/0.05*0.1</f>
        <v>0.21999999999999997</v>
      </c>
      <c r="E32" s="29">
        <v>350000</v>
      </c>
      <c r="F32" s="30">
        <f t="shared" si="2"/>
        <v>76999.999999999985</v>
      </c>
    </row>
    <row r="33" spans="1:41" s="2" customFormat="1" ht="18.75" x14ac:dyDescent="0.25">
      <c r="A33" s="25" t="s">
        <v>485</v>
      </c>
      <c r="B33" s="26" t="s">
        <v>396</v>
      </c>
      <c r="C33" s="27" t="s">
        <v>195</v>
      </c>
      <c r="D33" s="106">
        <f xml:space="preserve"> 0.3*(((0.8+0.6)*0.2)-(0.2*0.2))+2*(1.55*2)*0.1*0.1</f>
        <v>0.13400000000000001</v>
      </c>
      <c r="E33" s="29">
        <v>70000</v>
      </c>
      <c r="F33" s="30">
        <f t="shared" si="2"/>
        <v>9380</v>
      </c>
    </row>
    <row r="34" spans="1:41" s="2" customFormat="1" ht="18.75" x14ac:dyDescent="0.25">
      <c r="A34" s="25" t="s">
        <v>486</v>
      </c>
      <c r="B34" s="26" t="s">
        <v>398</v>
      </c>
      <c r="C34" s="27" t="s">
        <v>194</v>
      </c>
      <c r="D34" s="106">
        <f>2*((0.8+0.6)-0.2)+((0.8+0.6)*2-0.2)+0.1*3</f>
        <v>5.3</v>
      </c>
      <c r="E34" s="29">
        <v>3800</v>
      </c>
      <c r="F34" s="30">
        <f t="shared" si="2"/>
        <v>20140</v>
      </c>
    </row>
    <row r="35" spans="1:41" s="2" customFormat="1" ht="18.75" x14ac:dyDescent="0.25">
      <c r="A35" s="25" t="s">
        <v>487</v>
      </c>
      <c r="B35" s="26" t="s">
        <v>196</v>
      </c>
      <c r="C35" s="27" t="s">
        <v>14</v>
      </c>
      <c r="D35" s="106">
        <v>1</v>
      </c>
      <c r="E35" s="29">
        <v>36000</v>
      </c>
      <c r="F35" s="30">
        <f t="shared" si="2"/>
        <v>36000</v>
      </c>
    </row>
    <row r="36" spans="1:41" s="2" customFormat="1" ht="15.75" x14ac:dyDescent="0.25">
      <c r="A36" s="25" t="s">
        <v>488</v>
      </c>
      <c r="B36" s="57" t="s">
        <v>489</v>
      </c>
      <c r="C36" s="89" t="s">
        <v>133</v>
      </c>
      <c r="D36" s="90">
        <v>1</v>
      </c>
      <c r="E36" s="82">
        <v>2000000</v>
      </c>
      <c r="F36" s="306">
        <f t="shared" si="2"/>
        <v>2000000</v>
      </c>
    </row>
    <row r="37" spans="1:41" s="2" customFormat="1" ht="31.5" x14ac:dyDescent="0.25">
      <c r="A37" s="25" t="s">
        <v>490</v>
      </c>
      <c r="B37" s="307" t="s">
        <v>451</v>
      </c>
      <c r="C37" s="308" t="s">
        <v>11</v>
      </c>
      <c r="D37" s="309">
        <v>46</v>
      </c>
      <c r="E37" s="310">
        <v>81050</v>
      </c>
      <c r="F37" s="311">
        <f t="shared" si="2"/>
        <v>3728300</v>
      </c>
    </row>
    <row r="38" spans="1:41" s="2" customFormat="1" ht="31.5" x14ac:dyDescent="0.25">
      <c r="A38" s="25" t="s">
        <v>491</v>
      </c>
      <c r="B38" s="312" t="s">
        <v>453</v>
      </c>
      <c r="C38" s="27" t="s">
        <v>14</v>
      </c>
      <c r="D38" s="313">
        <v>1</v>
      </c>
      <c r="E38" s="314">
        <f>(4*2)*65000</f>
        <v>520000</v>
      </c>
      <c r="F38" s="315">
        <f t="shared" si="2"/>
        <v>520000</v>
      </c>
    </row>
    <row r="39" spans="1:41" s="1" customFormat="1" ht="15.75" x14ac:dyDescent="0.25">
      <c r="A39" s="352"/>
      <c r="B39" s="353" t="s">
        <v>492</v>
      </c>
      <c r="C39" s="354"/>
      <c r="D39" s="364"/>
      <c r="E39" s="365"/>
      <c r="F39" s="357">
        <f>SUM(F3:F38)</f>
        <v>25585831.150000002</v>
      </c>
    </row>
    <row r="40" spans="1:41" s="36" customFormat="1" ht="15.75" x14ac:dyDescent="0.25">
      <c r="A40" s="358"/>
      <c r="B40" s="359" t="s">
        <v>850</v>
      </c>
      <c r="C40" s="360"/>
      <c r="D40" s="361" t="s">
        <v>642</v>
      </c>
      <c r="E40" s="362">
        <v>1</v>
      </c>
      <c r="F40" s="363">
        <f>F39*E40</f>
        <v>25585831.150000002</v>
      </c>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O41"/>
  <sheetViews>
    <sheetView workbookViewId="0">
      <selection activeCell="C26" sqref="C26"/>
    </sheetView>
  </sheetViews>
  <sheetFormatPr defaultRowHeight="15" x14ac:dyDescent="0.25"/>
  <cols>
    <col min="2" max="2" width="47.5703125" customWidth="1"/>
    <col min="5" max="5" width="15.5703125" customWidth="1"/>
    <col min="6" max="6" width="40.28515625" customWidth="1"/>
  </cols>
  <sheetData>
    <row r="2" spans="1:6" ht="25.5" x14ac:dyDescent="0.25">
      <c r="A2" s="210" t="s">
        <v>294</v>
      </c>
      <c r="B2" s="210" t="s">
        <v>295</v>
      </c>
      <c r="C2" s="211"/>
      <c r="D2" s="211"/>
      <c r="E2" s="212"/>
      <c r="F2" s="212"/>
    </row>
    <row r="3" spans="1:6" x14ac:dyDescent="0.25">
      <c r="A3" s="211" t="s">
        <v>296</v>
      </c>
      <c r="B3" s="211" t="s">
        <v>265</v>
      </c>
      <c r="C3" s="211" t="s">
        <v>71</v>
      </c>
      <c r="D3" s="211">
        <f>14.2*14.2*1.2*3.14/4</f>
        <v>189.94487999999998</v>
      </c>
      <c r="E3" s="212">
        <v>2500</v>
      </c>
      <c r="F3" s="212">
        <f>E3*D3</f>
        <v>474862.19999999995</v>
      </c>
    </row>
    <row r="4" spans="1:6" x14ac:dyDescent="0.25">
      <c r="A4" s="211" t="s">
        <v>297</v>
      </c>
      <c r="B4" s="211" t="s">
        <v>266</v>
      </c>
      <c r="C4" s="211" t="s">
        <v>71</v>
      </c>
      <c r="D4" s="211">
        <f>12.25*12.25*0.4*3.14/4</f>
        <v>47.119625000000006</v>
      </c>
      <c r="E4" s="212">
        <v>45000</v>
      </c>
      <c r="F4" s="212">
        <f t="shared" ref="F4:F33" si="0">E4*D4</f>
        <v>2120383.1250000005</v>
      </c>
    </row>
    <row r="5" spans="1:6" x14ac:dyDescent="0.25">
      <c r="A5" s="211" t="s">
        <v>298</v>
      </c>
      <c r="B5" s="211" t="s">
        <v>267</v>
      </c>
      <c r="C5" s="211" t="s">
        <v>71</v>
      </c>
      <c r="D5" s="211">
        <f>12.25*12.25*0.05*3.14/4</f>
        <v>5.8899531250000008</v>
      </c>
      <c r="E5" s="212">
        <v>120000</v>
      </c>
      <c r="F5" s="212">
        <f t="shared" si="0"/>
        <v>706794.37500000012</v>
      </c>
    </row>
    <row r="6" spans="1:6" x14ac:dyDescent="0.25">
      <c r="A6" s="211" t="s">
        <v>299</v>
      </c>
      <c r="B6" s="211" t="s">
        <v>268</v>
      </c>
      <c r="C6" s="211" t="s">
        <v>71</v>
      </c>
      <c r="D6" s="211">
        <f>(12.1*12.1*0.2*3.14/4)+(11.2*11.2*0.07*3.14/4)</f>
        <v>29.879297999999999</v>
      </c>
      <c r="E6" s="212">
        <v>400000</v>
      </c>
      <c r="F6" s="212">
        <f t="shared" si="0"/>
        <v>11951719.199999999</v>
      </c>
    </row>
    <row r="7" spans="1:6" x14ac:dyDescent="0.25">
      <c r="A7" s="211" t="s">
        <v>300</v>
      </c>
      <c r="B7" s="211" t="s">
        <v>269</v>
      </c>
      <c r="C7" s="211" t="s">
        <v>71</v>
      </c>
      <c r="D7" s="211">
        <f>(((11.8^2-11.2^2)/4)*3.14*2.7)+(((12.1^2-11.8^2)/4)*3.14*0.3)</f>
        <v>30.937635000000054</v>
      </c>
      <c r="E7" s="212">
        <v>400000</v>
      </c>
      <c r="F7" s="212">
        <f t="shared" si="0"/>
        <v>12375054.00000002</v>
      </c>
    </row>
    <row r="8" spans="1:6" x14ac:dyDescent="0.25">
      <c r="A8" s="211" t="s">
        <v>301</v>
      </c>
      <c r="B8" s="211" t="s">
        <v>270</v>
      </c>
      <c r="C8" s="211" t="s">
        <v>71</v>
      </c>
      <c r="D8" s="211">
        <f>(0.2*0.2*2.5)+(0.2*0.2*11.8*2)</f>
        <v>1.0440000000000003</v>
      </c>
      <c r="E8" s="212">
        <v>400000</v>
      </c>
      <c r="F8" s="212">
        <f t="shared" si="0"/>
        <v>417600.00000000012</v>
      </c>
    </row>
    <row r="9" spans="1:6" x14ac:dyDescent="0.25">
      <c r="A9" s="211" t="s">
        <v>302</v>
      </c>
      <c r="B9" s="211" t="s">
        <v>271</v>
      </c>
      <c r="C9" s="211" t="s">
        <v>71</v>
      </c>
      <c r="D9" s="211">
        <f>12*12*0.15*3.14/4</f>
        <v>16.956</v>
      </c>
      <c r="E9" s="212">
        <v>400000</v>
      </c>
      <c r="F9" s="212">
        <f t="shared" si="0"/>
        <v>6782400</v>
      </c>
    </row>
    <row r="10" spans="1:6" ht="38.25" x14ac:dyDescent="0.25">
      <c r="A10" s="211" t="s">
        <v>303</v>
      </c>
      <c r="B10" s="211" t="s">
        <v>304</v>
      </c>
      <c r="C10" s="211" t="s">
        <v>72</v>
      </c>
      <c r="D10" s="211">
        <f>11.2*3.14*2.5*3</f>
        <v>263.76</v>
      </c>
      <c r="E10" s="212">
        <v>8000</v>
      </c>
      <c r="F10" s="212">
        <f t="shared" si="0"/>
        <v>2110080</v>
      </c>
    </row>
    <row r="11" spans="1:6" ht="25.5" x14ac:dyDescent="0.25">
      <c r="A11" s="211" t="s">
        <v>305</v>
      </c>
      <c r="B11" s="211" t="s">
        <v>273</v>
      </c>
      <c r="C11" s="211" t="s">
        <v>72</v>
      </c>
      <c r="D11" s="211">
        <f>11.8*3.14*2.7</f>
        <v>100.04040000000002</v>
      </c>
      <c r="E11" s="212">
        <v>5200</v>
      </c>
      <c r="F11" s="212">
        <f t="shared" si="0"/>
        <v>520210.08000000007</v>
      </c>
    </row>
    <row r="12" spans="1:6" ht="25.5" x14ac:dyDescent="0.25">
      <c r="A12" s="211" t="s">
        <v>306</v>
      </c>
      <c r="B12" s="211" t="s">
        <v>274</v>
      </c>
      <c r="C12" s="211" t="s">
        <v>275</v>
      </c>
      <c r="D12" s="211">
        <v>2</v>
      </c>
      <c r="E12" s="212">
        <v>120000</v>
      </c>
      <c r="F12" s="212">
        <f t="shared" si="0"/>
        <v>240000</v>
      </c>
    </row>
    <row r="13" spans="1:6" ht="25.5" x14ac:dyDescent="0.25">
      <c r="A13" s="211" t="s">
        <v>307</v>
      </c>
      <c r="B13" s="211" t="s">
        <v>276</v>
      </c>
      <c r="C13" s="211" t="s">
        <v>275</v>
      </c>
      <c r="D13" s="211">
        <v>1</v>
      </c>
      <c r="E13" s="212">
        <v>300000</v>
      </c>
      <c r="F13" s="212">
        <f t="shared" si="0"/>
        <v>300000</v>
      </c>
    </row>
    <row r="14" spans="1:6" x14ac:dyDescent="0.25">
      <c r="A14" s="211" t="s">
        <v>308</v>
      </c>
      <c r="B14" s="211" t="s">
        <v>277</v>
      </c>
      <c r="C14" s="211" t="s">
        <v>278</v>
      </c>
      <c r="D14" s="211">
        <v>1</v>
      </c>
      <c r="E14" s="212">
        <v>50000</v>
      </c>
      <c r="F14" s="212">
        <f t="shared" si="0"/>
        <v>50000</v>
      </c>
    </row>
    <row r="15" spans="1:6" x14ac:dyDescent="0.25">
      <c r="A15" s="211"/>
      <c r="B15" s="210" t="s">
        <v>279</v>
      </c>
      <c r="C15" s="211"/>
      <c r="D15" s="211"/>
      <c r="E15" s="212"/>
      <c r="F15" s="212"/>
    </row>
    <row r="16" spans="1:6" x14ac:dyDescent="0.25">
      <c r="A16" s="211" t="s">
        <v>309</v>
      </c>
      <c r="B16" s="211" t="s">
        <v>265</v>
      </c>
      <c r="C16" s="211" t="s">
        <v>71</v>
      </c>
      <c r="D16" s="211">
        <f>3.8*3.8*1.6</f>
        <v>23.103999999999999</v>
      </c>
      <c r="E16" s="212">
        <v>2500</v>
      </c>
      <c r="F16" s="212">
        <f t="shared" si="0"/>
        <v>57760</v>
      </c>
    </row>
    <row r="17" spans="1:6" x14ac:dyDescent="0.25">
      <c r="A17" s="211" t="s">
        <v>310</v>
      </c>
      <c r="B17" s="211" t="s">
        <v>280</v>
      </c>
      <c r="C17" s="211" t="s">
        <v>71</v>
      </c>
      <c r="D17" s="211">
        <f>2.8*2.8*0.3</f>
        <v>2.3519999999999994</v>
      </c>
      <c r="E17" s="212">
        <v>45000</v>
      </c>
      <c r="F17" s="212">
        <f t="shared" si="0"/>
        <v>105839.99999999997</v>
      </c>
    </row>
    <row r="18" spans="1:6" x14ac:dyDescent="0.25">
      <c r="A18" s="211" t="s">
        <v>311</v>
      </c>
      <c r="B18" s="211" t="s">
        <v>267</v>
      </c>
      <c r="C18" s="211" t="s">
        <v>71</v>
      </c>
      <c r="D18" s="211">
        <f>2.8*2.8*0.05</f>
        <v>0.39199999999999996</v>
      </c>
      <c r="E18" s="212">
        <v>120000</v>
      </c>
      <c r="F18" s="212">
        <f t="shared" si="0"/>
        <v>47039.999999999993</v>
      </c>
    </row>
    <row r="19" spans="1:6" x14ac:dyDescent="0.25">
      <c r="A19" s="211" t="s">
        <v>312</v>
      </c>
      <c r="B19" s="211" t="s">
        <v>268</v>
      </c>
      <c r="C19" s="211" t="s">
        <v>71</v>
      </c>
      <c r="D19" s="211">
        <f>2.6*2.6*0.1</f>
        <v>0.67600000000000016</v>
      </c>
      <c r="E19" s="212">
        <v>400000</v>
      </c>
      <c r="F19" s="212">
        <f t="shared" si="0"/>
        <v>270400.00000000006</v>
      </c>
    </row>
    <row r="20" spans="1:6" x14ac:dyDescent="0.25">
      <c r="A20" s="211" t="s">
        <v>313</v>
      </c>
      <c r="B20" s="211" t="s">
        <v>281</v>
      </c>
      <c r="C20" s="211" t="s">
        <v>71</v>
      </c>
      <c r="D20" s="211">
        <f>2.6*4*0.3*1.2</f>
        <v>3.7439999999999998</v>
      </c>
      <c r="E20" s="212">
        <v>90000</v>
      </c>
      <c r="F20" s="212">
        <f t="shared" si="0"/>
        <v>336960</v>
      </c>
    </row>
    <row r="21" spans="1:6" x14ac:dyDescent="0.25">
      <c r="A21" s="211" t="s">
        <v>314</v>
      </c>
      <c r="B21" s="211" t="s">
        <v>271</v>
      </c>
      <c r="C21" s="211" t="s">
        <v>71</v>
      </c>
      <c r="D21" s="211">
        <f>2.8*2.8*0.1</f>
        <v>0.78399999999999992</v>
      </c>
      <c r="E21" s="212">
        <v>400000</v>
      </c>
      <c r="F21" s="212">
        <f t="shared" si="0"/>
        <v>313599.99999999994</v>
      </c>
    </row>
    <row r="22" spans="1:6" x14ac:dyDescent="0.25">
      <c r="A22" s="211" t="s">
        <v>315</v>
      </c>
      <c r="B22" s="211" t="s">
        <v>282</v>
      </c>
      <c r="C22" s="211" t="s">
        <v>283</v>
      </c>
      <c r="D22" s="211">
        <f>2*4*1.2</f>
        <v>9.6</v>
      </c>
      <c r="E22" s="212">
        <v>5200</v>
      </c>
      <c r="F22" s="212">
        <f t="shared" si="0"/>
        <v>49920</v>
      </c>
    </row>
    <row r="23" spans="1:6" x14ac:dyDescent="0.25">
      <c r="A23" s="211" t="s">
        <v>316</v>
      </c>
      <c r="B23" s="211" t="s">
        <v>284</v>
      </c>
      <c r="C23" s="211" t="s">
        <v>283</v>
      </c>
      <c r="D23" s="211">
        <f>2.6*4*1.2</f>
        <v>12.48</v>
      </c>
      <c r="E23" s="212">
        <v>3500</v>
      </c>
      <c r="F23" s="212">
        <f t="shared" si="0"/>
        <v>43680</v>
      </c>
    </row>
    <row r="24" spans="1:6" ht="25.5" x14ac:dyDescent="0.25">
      <c r="A24" s="211" t="s">
        <v>317</v>
      </c>
      <c r="B24" s="211" t="s">
        <v>318</v>
      </c>
      <c r="C24" s="211" t="s">
        <v>286</v>
      </c>
      <c r="D24" s="211">
        <v>1</v>
      </c>
      <c r="E24" s="212">
        <v>100000</v>
      </c>
      <c r="F24" s="212">
        <f t="shared" si="0"/>
        <v>100000</v>
      </c>
    </row>
    <row r="25" spans="1:6" ht="38.25" x14ac:dyDescent="0.25">
      <c r="A25" s="211" t="s">
        <v>319</v>
      </c>
      <c r="B25" s="211" t="s">
        <v>285</v>
      </c>
      <c r="C25" s="211" t="s">
        <v>65</v>
      </c>
      <c r="D25" s="211">
        <v>1</v>
      </c>
      <c r="E25" s="212">
        <v>12000000</v>
      </c>
      <c r="F25" s="212">
        <f>E25*D25</f>
        <v>12000000</v>
      </c>
    </row>
    <row r="26" spans="1:6" x14ac:dyDescent="0.25">
      <c r="A26" s="211"/>
      <c r="B26" s="210" t="s">
        <v>287</v>
      </c>
      <c r="C26" s="211"/>
      <c r="D26" s="211"/>
      <c r="E26" s="212"/>
      <c r="F26" s="212"/>
    </row>
    <row r="27" spans="1:6" ht="38.25" x14ac:dyDescent="0.25">
      <c r="A27" s="211" t="s">
        <v>320</v>
      </c>
      <c r="B27" s="211" t="s">
        <v>16</v>
      </c>
      <c r="C27" s="211" t="s">
        <v>288</v>
      </c>
      <c r="D27" s="211">
        <f xml:space="preserve"> (1+0.8)*(1+1.2)*1*0.6</f>
        <v>2.3760000000000003</v>
      </c>
      <c r="E27" s="212">
        <v>2500</v>
      </c>
      <c r="F27" s="212">
        <f t="shared" si="0"/>
        <v>5940.0000000000009</v>
      </c>
    </row>
    <row r="28" spans="1:6" ht="25.5" x14ac:dyDescent="0.25">
      <c r="A28" s="211" t="s">
        <v>321</v>
      </c>
      <c r="B28" s="211" t="s">
        <v>289</v>
      </c>
      <c r="C28" s="211" t="s">
        <v>288</v>
      </c>
      <c r="D28" s="211">
        <f>1.2*0.8*0.2</f>
        <v>0.192</v>
      </c>
      <c r="E28" s="212">
        <v>70000</v>
      </c>
      <c r="F28" s="212">
        <f t="shared" si="0"/>
        <v>13440</v>
      </c>
    </row>
    <row r="29" spans="1:6" ht="18" x14ac:dyDescent="0.25">
      <c r="A29" s="211" t="s">
        <v>322</v>
      </c>
      <c r="B29" s="211" t="s">
        <v>18</v>
      </c>
      <c r="C29" s="211" t="s">
        <v>288</v>
      </c>
      <c r="D29" s="211">
        <f>1.2*0.8*0.05</f>
        <v>4.8000000000000001E-2</v>
      </c>
      <c r="E29" s="212">
        <v>120000</v>
      </c>
      <c r="F29" s="212">
        <f t="shared" si="0"/>
        <v>5760</v>
      </c>
    </row>
    <row r="30" spans="1:6" ht="18" x14ac:dyDescent="0.25">
      <c r="A30" s="211" t="s">
        <v>323</v>
      </c>
      <c r="B30" s="211" t="s">
        <v>47</v>
      </c>
      <c r="C30" s="211" t="s">
        <v>288</v>
      </c>
      <c r="D30" s="211">
        <f>D29/0.05*0.1*1.05</f>
        <v>0.1008</v>
      </c>
      <c r="E30" s="212">
        <v>400000</v>
      </c>
      <c r="F30" s="212">
        <f t="shared" si="0"/>
        <v>40320</v>
      </c>
    </row>
    <row r="31" spans="1:6" ht="18" x14ac:dyDescent="0.25">
      <c r="A31" s="211" t="s">
        <v>324</v>
      </c>
      <c r="B31" s="211" t="s">
        <v>290</v>
      </c>
      <c r="C31" s="211" t="s">
        <v>288</v>
      </c>
      <c r="D31" s="211">
        <f>2.8*0.6*0.3</f>
        <v>0.504</v>
      </c>
      <c r="E31" s="212">
        <v>90000</v>
      </c>
      <c r="F31" s="212">
        <f t="shared" si="0"/>
        <v>45360</v>
      </c>
    </row>
    <row r="32" spans="1:6" ht="33.75" x14ac:dyDescent="0.25">
      <c r="A32" s="211" t="s">
        <v>325</v>
      </c>
      <c r="B32" s="211" t="s">
        <v>291</v>
      </c>
      <c r="C32" s="211" t="s">
        <v>292</v>
      </c>
      <c r="D32" s="211">
        <f>2.8*0.6</f>
        <v>1.68</v>
      </c>
      <c r="E32" s="212">
        <v>5200</v>
      </c>
      <c r="F32" s="212">
        <f t="shared" si="0"/>
        <v>8736</v>
      </c>
    </row>
    <row r="33" spans="1:41" ht="33.75" x14ac:dyDescent="0.25">
      <c r="A33" s="211" t="s">
        <v>326</v>
      </c>
      <c r="B33" s="211" t="s">
        <v>293</v>
      </c>
      <c r="C33" s="211" t="s">
        <v>190</v>
      </c>
      <c r="D33" s="211">
        <v>1</v>
      </c>
      <c r="E33" s="212">
        <v>36000</v>
      </c>
      <c r="F33" s="212">
        <f t="shared" si="0"/>
        <v>36000</v>
      </c>
    </row>
    <row r="34" spans="1:41" s="1" customFormat="1" ht="15.75" x14ac:dyDescent="0.25">
      <c r="A34" s="352"/>
      <c r="B34" s="353" t="s">
        <v>327</v>
      </c>
      <c r="C34" s="354"/>
      <c r="D34" s="364"/>
      <c r="E34" s="365"/>
      <c r="F34" s="357">
        <f>SUM(F3:F33)</f>
        <v>51529858.980000019</v>
      </c>
    </row>
    <row r="35" spans="1:41" s="36" customFormat="1" ht="15.75" x14ac:dyDescent="0.25">
      <c r="A35" s="358"/>
      <c r="B35" s="359" t="s">
        <v>851</v>
      </c>
      <c r="C35" s="360"/>
      <c r="D35" s="361" t="s">
        <v>642</v>
      </c>
      <c r="E35" s="362">
        <v>1</v>
      </c>
      <c r="F35" s="363">
        <f>F34*E35</f>
        <v>51529858.980000019</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s="2" customFormat="1" ht="15.75" x14ac:dyDescent="0.25"/>
    <row r="37" spans="1:41" s="2" customFormat="1" ht="15.75" x14ac:dyDescent="0.25"/>
    <row r="38" spans="1:41" s="2" customFormat="1" ht="15.75" x14ac:dyDescent="0.25"/>
    <row r="39" spans="1:41" s="2" customFormat="1" ht="15.75" x14ac:dyDescent="0.25"/>
    <row r="40" spans="1:41" s="2" customFormat="1" ht="15.75" x14ac:dyDescent="0.25"/>
    <row r="41" spans="1:41" s="2" customFormat="1" ht="15.7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O45"/>
  <sheetViews>
    <sheetView topLeftCell="A13" workbookViewId="0">
      <selection activeCell="B30" sqref="B30"/>
    </sheetView>
  </sheetViews>
  <sheetFormatPr defaultColWidth="8.85546875" defaultRowHeight="15" x14ac:dyDescent="0.25"/>
  <cols>
    <col min="1" max="1" width="9.85546875" customWidth="1"/>
    <col min="2" max="2" width="99" customWidth="1"/>
    <col min="3" max="3" width="16" customWidth="1"/>
    <col min="4" max="4" width="10.140625" customWidth="1"/>
    <col min="5" max="5" width="15.42578125" customWidth="1"/>
    <col min="6" max="6" width="27.28515625" bestFit="1" customWidth="1"/>
    <col min="8" max="8" width="9.7109375" bestFit="1" customWidth="1"/>
  </cols>
  <sheetData>
    <row r="2" spans="1:6" s="1" customFormat="1" ht="15.75" x14ac:dyDescent="0.25">
      <c r="A2" s="214" t="s">
        <v>328</v>
      </c>
      <c r="B2" s="62" t="s">
        <v>329</v>
      </c>
      <c r="C2" s="22"/>
      <c r="D2" s="23"/>
      <c r="E2" s="24"/>
      <c r="F2" s="215"/>
    </row>
    <row r="3" spans="1:6" s="1" customFormat="1" ht="18.75" x14ac:dyDescent="0.25">
      <c r="A3" s="216" t="s">
        <v>330</v>
      </c>
      <c r="B3" s="217" t="s">
        <v>331</v>
      </c>
      <c r="C3" s="105" t="s">
        <v>195</v>
      </c>
      <c r="D3" s="121">
        <f>20.82*2</f>
        <v>41.64</v>
      </c>
      <c r="E3" s="218">
        <v>1500</v>
      </c>
      <c r="F3" s="219">
        <f>+D3*E3</f>
        <v>62460</v>
      </c>
    </row>
    <row r="4" spans="1:6" s="1" customFormat="1" ht="18.75" x14ac:dyDescent="0.25">
      <c r="A4" s="216" t="s">
        <v>332</v>
      </c>
      <c r="B4" s="217" t="s">
        <v>333</v>
      </c>
      <c r="C4" s="105" t="s">
        <v>195</v>
      </c>
      <c r="D4" s="121">
        <f>13*2</f>
        <v>26</v>
      </c>
      <c r="E4" s="218">
        <v>3300</v>
      </c>
      <c r="F4" s="219">
        <f>+D4*E4</f>
        <v>85800</v>
      </c>
    </row>
    <row r="5" spans="1:6" s="1" customFormat="1" ht="18.75" x14ac:dyDescent="0.25">
      <c r="A5" s="216" t="s">
        <v>334</v>
      </c>
      <c r="B5" s="217" t="s">
        <v>335</v>
      </c>
      <c r="C5" s="105" t="s">
        <v>195</v>
      </c>
      <c r="D5" s="121">
        <f>125.69*4</f>
        <v>502.76</v>
      </c>
      <c r="E5" s="218">
        <v>3300</v>
      </c>
      <c r="F5" s="219">
        <f>+D5*E5</f>
        <v>1659108</v>
      </c>
    </row>
    <row r="6" spans="1:6" s="1" customFormat="1" ht="18.75" x14ac:dyDescent="0.25">
      <c r="A6" s="216" t="s">
        <v>336</v>
      </c>
      <c r="B6" s="217" t="s">
        <v>337</v>
      </c>
      <c r="C6" s="105" t="s">
        <v>195</v>
      </c>
      <c r="D6" s="121">
        <f>60.46*2</f>
        <v>120.92</v>
      </c>
      <c r="E6" s="218">
        <v>1238</v>
      </c>
      <c r="F6" s="219">
        <f>+D6*E6</f>
        <v>149698.96</v>
      </c>
    </row>
    <row r="7" spans="1:6" s="1" customFormat="1" ht="18.75" x14ac:dyDescent="0.25">
      <c r="A7" s="216" t="s">
        <v>338</v>
      </c>
      <c r="B7" s="217" t="s">
        <v>339</v>
      </c>
      <c r="C7" s="105" t="s">
        <v>195</v>
      </c>
      <c r="D7" s="121">
        <f>20.4*3</f>
        <v>61.199999999999996</v>
      </c>
      <c r="E7" s="218">
        <v>33000</v>
      </c>
      <c r="F7" s="219">
        <f>E7*D7</f>
        <v>2019599.9999999998</v>
      </c>
    </row>
    <row r="8" spans="1:6" s="1" customFormat="1" ht="18.75" x14ac:dyDescent="0.25">
      <c r="A8" s="216" t="s">
        <v>340</v>
      </c>
      <c r="B8" s="217" t="s">
        <v>341</v>
      </c>
      <c r="C8" s="105" t="s">
        <v>195</v>
      </c>
      <c r="D8" s="207">
        <f>6*3</f>
        <v>18</v>
      </c>
      <c r="E8" s="218">
        <v>100000</v>
      </c>
      <c r="F8" s="219">
        <f t="shared" ref="F8:F20" si="0">+D8*E8</f>
        <v>1800000</v>
      </c>
    </row>
    <row r="9" spans="1:6" s="1" customFormat="1" ht="31.5" x14ac:dyDescent="0.25">
      <c r="A9" s="216" t="s">
        <v>342</v>
      </c>
      <c r="B9" s="217" t="s">
        <v>343</v>
      </c>
      <c r="C9" s="105" t="s">
        <v>195</v>
      </c>
      <c r="D9" s="109">
        <f>28*4</f>
        <v>112</v>
      </c>
      <c r="E9" s="218">
        <v>350000</v>
      </c>
      <c r="F9" s="219">
        <f t="shared" si="0"/>
        <v>39200000</v>
      </c>
    </row>
    <row r="10" spans="1:6" s="1" customFormat="1" ht="18.75" x14ac:dyDescent="0.25">
      <c r="A10" s="216" t="s">
        <v>344</v>
      </c>
      <c r="B10" s="217" t="s">
        <v>345</v>
      </c>
      <c r="C10" s="105" t="s">
        <v>195</v>
      </c>
      <c r="D10" s="207">
        <f>35.2*4</f>
        <v>140.80000000000001</v>
      </c>
      <c r="E10" s="218">
        <v>350000</v>
      </c>
      <c r="F10" s="219">
        <f t="shared" si="0"/>
        <v>49280000.000000007</v>
      </c>
    </row>
    <row r="11" spans="1:6" s="1" customFormat="1" ht="18.75" x14ac:dyDescent="0.25">
      <c r="A11" s="216" t="s">
        <v>346</v>
      </c>
      <c r="B11" s="217" t="s">
        <v>347</v>
      </c>
      <c r="C11" s="105" t="s">
        <v>195</v>
      </c>
      <c r="D11" s="207">
        <f>2.624*6</f>
        <v>15.744</v>
      </c>
      <c r="E11" s="218">
        <v>350000</v>
      </c>
      <c r="F11" s="219">
        <f t="shared" si="0"/>
        <v>5510400</v>
      </c>
    </row>
    <row r="12" spans="1:6" s="1" customFormat="1" ht="15.75" x14ac:dyDescent="0.25">
      <c r="A12" s="216" t="s">
        <v>348</v>
      </c>
      <c r="B12" s="217" t="s">
        <v>349</v>
      </c>
      <c r="C12" s="105" t="s">
        <v>350</v>
      </c>
      <c r="D12" s="207">
        <f>60*2</f>
        <v>120</v>
      </c>
      <c r="E12" s="218">
        <v>4125</v>
      </c>
      <c r="F12" s="219">
        <f t="shared" si="0"/>
        <v>495000</v>
      </c>
    </row>
    <row r="13" spans="1:6" s="1" customFormat="1" ht="18.75" x14ac:dyDescent="0.25">
      <c r="A13" s="216" t="s">
        <v>351</v>
      </c>
      <c r="B13" s="217" t="s">
        <v>352</v>
      </c>
      <c r="C13" s="105" t="s">
        <v>195</v>
      </c>
      <c r="D13" s="207">
        <f>21.64*4</f>
        <v>86.56</v>
      </c>
      <c r="E13" s="218">
        <v>350000</v>
      </c>
      <c r="F13" s="219">
        <f t="shared" si="0"/>
        <v>30296000</v>
      </c>
    </row>
    <row r="14" spans="1:6" s="1" customFormat="1" ht="18.75" x14ac:dyDescent="0.25">
      <c r="A14" s="216" t="s">
        <v>353</v>
      </c>
      <c r="B14" s="217" t="s">
        <v>354</v>
      </c>
      <c r="C14" s="105" t="s">
        <v>355</v>
      </c>
      <c r="D14" s="207">
        <f>284*4</f>
        <v>1136</v>
      </c>
      <c r="E14" s="218">
        <v>8000</v>
      </c>
      <c r="F14" s="219">
        <f t="shared" si="0"/>
        <v>9088000</v>
      </c>
    </row>
    <row r="15" spans="1:6" s="1" customFormat="1" ht="18.75" x14ac:dyDescent="0.25">
      <c r="A15" s="216" t="s">
        <v>356</v>
      </c>
      <c r="B15" s="217" t="s">
        <v>357</v>
      </c>
      <c r="C15" s="105" t="s">
        <v>355</v>
      </c>
      <c r="D15" s="207">
        <f>94.98*2</f>
        <v>189.96</v>
      </c>
      <c r="E15" s="218">
        <v>6000</v>
      </c>
      <c r="F15" s="219">
        <f t="shared" si="0"/>
        <v>1139760</v>
      </c>
    </row>
    <row r="16" spans="1:6" s="1" customFormat="1" ht="18.75" x14ac:dyDescent="0.25">
      <c r="A16" s="216" t="s">
        <v>358</v>
      </c>
      <c r="B16" s="217" t="s">
        <v>359</v>
      </c>
      <c r="C16" s="105" t="s">
        <v>355</v>
      </c>
      <c r="D16" s="121">
        <v>19</v>
      </c>
      <c r="E16" s="218">
        <v>4125</v>
      </c>
      <c r="F16" s="219">
        <f t="shared" si="0"/>
        <v>78375</v>
      </c>
    </row>
    <row r="17" spans="1:6" s="1" customFormat="1" ht="15.75" x14ac:dyDescent="0.25">
      <c r="A17" s="216" t="s">
        <v>360</v>
      </c>
      <c r="B17" s="217" t="s">
        <v>361</v>
      </c>
      <c r="C17" s="105" t="s">
        <v>350</v>
      </c>
      <c r="D17" s="207">
        <v>12</v>
      </c>
      <c r="E17" s="218">
        <v>2000</v>
      </c>
      <c r="F17" s="219">
        <f t="shared" si="0"/>
        <v>24000</v>
      </c>
    </row>
    <row r="18" spans="1:6" s="1" customFormat="1" ht="15.75" x14ac:dyDescent="0.25">
      <c r="A18" s="216" t="s">
        <v>362</v>
      </c>
      <c r="B18" s="217" t="s">
        <v>363</v>
      </c>
      <c r="C18" s="105" t="s">
        <v>14</v>
      </c>
      <c r="D18" s="121">
        <v>2</v>
      </c>
      <c r="E18" s="218">
        <v>66000</v>
      </c>
      <c r="F18" s="219">
        <f t="shared" si="0"/>
        <v>132000</v>
      </c>
    </row>
    <row r="19" spans="1:6" s="1" customFormat="1" ht="15.75" x14ac:dyDescent="0.25">
      <c r="A19" s="216" t="s">
        <v>364</v>
      </c>
      <c r="B19" s="217" t="s">
        <v>365</v>
      </c>
      <c r="C19" s="105" t="s">
        <v>14</v>
      </c>
      <c r="D19" s="121">
        <v>1</v>
      </c>
      <c r="E19" s="218">
        <v>180000</v>
      </c>
      <c r="F19" s="219">
        <f t="shared" si="0"/>
        <v>180000</v>
      </c>
    </row>
    <row r="20" spans="1:6" s="1" customFormat="1" ht="15.75" x14ac:dyDescent="0.25">
      <c r="A20" s="216" t="s">
        <v>366</v>
      </c>
      <c r="B20" s="79" t="s">
        <v>367</v>
      </c>
      <c r="C20" s="220" t="s">
        <v>368</v>
      </c>
      <c r="D20" s="221">
        <v>1</v>
      </c>
      <c r="E20" s="218">
        <v>15000000</v>
      </c>
      <c r="F20" s="219">
        <f t="shared" si="0"/>
        <v>15000000</v>
      </c>
    </row>
    <row r="21" spans="1:6" s="1" customFormat="1" ht="15.75" x14ac:dyDescent="0.25">
      <c r="A21" s="216"/>
      <c r="B21" s="222" t="s">
        <v>369</v>
      </c>
      <c r="C21" s="223"/>
      <c r="D21" s="224"/>
      <c r="E21" s="225"/>
      <c r="F21" s="226"/>
    </row>
    <row r="22" spans="1:6" s="1" customFormat="1" ht="18.75" x14ac:dyDescent="0.25">
      <c r="A22" s="216" t="s">
        <v>370</v>
      </c>
      <c r="B22" s="217" t="s">
        <v>371</v>
      </c>
      <c r="C22" s="105" t="s">
        <v>195</v>
      </c>
      <c r="D22" s="221">
        <v>13.2</v>
      </c>
      <c r="E22" s="218">
        <v>825</v>
      </c>
      <c r="F22" s="219">
        <f t="shared" ref="F22:F30" si="1">+D22*E22</f>
        <v>10890</v>
      </c>
    </row>
    <row r="23" spans="1:6" s="1" customFormat="1" ht="18.75" x14ac:dyDescent="0.25">
      <c r="A23" s="216" t="s">
        <v>372</v>
      </c>
      <c r="B23" s="217" t="s">
        <v>373</v>
      </c>
      <c r="C23" s="105" t="s">
        <v>195</v>
      </c>
      <c r="D23" s="221">
        <f>0.456*3</f>
        <v>1.3680000000000001</v>
      </c>
      <c r="E23" s="218">
        <v>57750</v>
      </c>
      <c r="F23" s="219">
        <f t="shared" si="1"/>
        <v>79002</v>
      </c>
    </row>
    <row r="24" spans="1:6" s="1" customFormat="1" ht="18.75" x14ac:dyDescent="0.25">
      <c r="A24" s="216" t="s">
        <v>374</v>
      </c>
      <c r="B24" s="217" t="s">
        <v>375</v>
      </c>
      <c r="C24" s="105" t="s">
        <v>195</v>
      </c>
      <c r="D24" s="221">
        <f>0.912*3</f>
        <v>2.7360000000000002</v>
      </c>
      <c r="E24" s="218">
        <v>198000</v>
      </c>
      <c r="F24" s="219">
        <f>+D24*E24</f>
        <v>541728</v>
      </c>
    </row>
    <row r="25" spans="1:6" s="1" customFormat="1" ht="18.75" x14ac:dyDescent="0.25">
      <c r="A25" s="216" t="s">
        <v>376</v>
      </c>
      <c r="B25" s="217" t="s">
        <v>377</v>
      </c>
      <c r="C25" s="105" t="s">
        <v>195</v>
      </c>
      <c r="D25" s="221">
        <v>2.34</v>
      </c>
      <c r="E25" s="218">
        <v>49500</v>
      </c>
      <c r="F25" s="219">
        <f t="shared" si="1"/>
        <v>115830</v>
      </c>
    </row>
    <row r="26" spans="1:6" s="1" customFormat="1" ht="18.75" x14ac:dyDescent="0.25">
      <c r="A26" s="216" t="s">
        <v>378</v>
      </c>
      <c r="B26" s="217" t="s">
        <v>379</v>
      </c>
      <c r="C26" s="105" t="s">
        <v>195</v>
      </c>
      <c r="D26" s="221">
        <f>0.912*3</f>
        <v>2.7360000000000002</v>
      </c>
      <c r="E26" s="218">
        <v>214500</v>
      </c>
      <c r="F26" s="219">
        <f t="shared" si="1"/>
        <v>586872</v>
      </c>
    </row>
    <row r="27" spans="1:6" s="1" customFormat="1" ht="18.75" x14ac:dyDescent="0.25">
      <c r="A27" s="216" t="s">
        <v>380</v>
      </c>
      <c r="B27" s="217" t="s">
        <v>381</v>
      </c>
      <c r="C27" s="105" t="s">
        <v>195</v>
      </c>
      <c r="D27" s="221">
        <v>0.6</v>
      </c>
      <c r="E27" s="218">
        <v>33000</v>
      </c>
      <c r="F27" s="219">
        <f t="shared" si="1"/>
        <v>19800</v>
      </c>
    </row>
    <row r="28" spans="1:6" s="1" customFormat="1" ht="18.75" x14ac:dyDescent="0.25">
      <c r="A28" s="216" t="s">
        <v>382</v>
      </c>
      <c r="B28" s="217" t="s">
        <v>383</v>
      </c>
      <c r="C28" s="105" t="s">
        <v>195</v>
      </c>
      <c r="D28" s="221">
        <f>0.3*3</f>
        <v>0.89999999999999991</v>
      </c>
      <c r="E28" s="218">
        <v>198000</v>
      </c>
      <c r="F28" s="219">
        <f t="shared" si="1"/>
        <v>178199.99999999997</v>
      </c>
    </row>
    <row r="29" spans="1:6" s="1" customFormat="1" ht="15.75" x14ac:dyDescent="0.25">
      <c r="A29" s="216" t="s">
        <v>384</v>
      </c>
      <c r="B29" s="217" t="s">
        <v>385</v>
      </c>
      <c r="C29" s="105" t="s">
        <v>14</v>
      </c>
      <c r="D29" s="221">
        <v>1</v>
      </c>
      <c r="E29" s="218">
        <v>66000</v>
      </c>
      <c r="F29" s="219">
        <f t="shared" si="1"/>
        <v>66000</v>
      </c>
    </row>
    <row r="30" spans="1:6" s="1" customFormat="1" ht="15.75" x14ac:dyDescent="0.25">
      <c r="A30" s="216" t="s">
        <v>386</v>
      </c>
      <c r="B30" s="217" t="s">
        <v>387</v>
      </c>
      <c r="C30" s="105" t="s">
        <v>388</v>
      </c>
      <c r="D30" s="221">
        <v>2</v>
      </c>
      <c r="E30" s="218">
        <v>16500</v>
      </c>
      <c r="F30" s="219">
        <f t="shared" si="1"/>
        <v>33000</v>
      </c>
    </row>
    <row r="31" spans="1:6" s="1" customFormat="1" ht="15.75" x14ac:dyDescent="0.25">
      <c r="A31" s="51"/>
      <c r="B31" s="57"/>
      <c r="C31" s="53"/>
      <c r="D31" s="54"/>
      <c r="E31" s="227"/>
      <c r="F31" s="56"/>
    </row>
    <row r="32" spans="1:6" s="1" customFormat="1" ht="15.75" x14ac:dyDescent="0.25">
      <c r="A32" s="51"/>
      <c r="B32" s="228" t="s">
        <v>389</v>
      </c>
      <c r="C32" s="108"/>
      <c r="D32" s="229"/>
      <c r="E32" s="186"/>
      <c r="F32" s="230"/>
    </row>
    <row r="33" spans="1:41" s="1" customFormat="1" ht="31.5" x14ac:dyDescent="0.25">
      <c r="A33" s="25" t="s">
        <v>390</v>
      </c>
      <c r="B33" s="26" t="s">
        <v>16</v>
      </c>
      <c r="C33" s="27" t="s">
        <v>195</v>
      </c>
      <c r="D33" s="80">
        <f xml:space="preserve"> (1+0.8)*(1+2.15)*1</f>
        <v>5.67</v>
      </c>
      <c r="E33" s="29">
        <v>2500</v>
      </c>
      <c r="F33" s="30">
        <f t="shared" ref="F33:F39" si="2">D33*E33</f>
        <v>14175</v>
      </c>
    </row>
    <row r="34" spans="1:41" s="1" customFormat="1" ht="31.5" x14ac:dyDescent="0.25">
      <c r="A34" s="25" t="s">
        <v>391</v>
      </c>
      <c r="B34" s="26" t="s">
        <v>392</v>
      </c>
      <c r="C34" s="27" t="s">
        <v>195</v>
      </c>
      <c r="D34" s="80">
        <f>6*((1.2*2.35)-2*(0.2*1.55))*0.2</f>
        <v>2.64</v>
      </c>
      <c r="E34" s="29">
        <v>30000</v>
      </c>
      <c r="F34" s="30">
        <f t="shared" si="2"/>
        <v>79200</v>
      </c>
    </row>
    <row r="35" spans="1:41" s="1" customFormat="1" ht="18.75" x14ac:dyDescent="0.25">
      <c r="A35" s="25" t="s">
        <v>393</v>
      </c>
      <c r="B35" s="61" t="s">
        <v>18</v>
      </c>
      <c r="C35" s="27" t="s">
        <v>195</v>
      </c>
      <c r="D35" s="80">
        <f>D34/0.2*0.05</f>
        <v>0.66</v>
      </c>
      <c r="E35" s="29">
        <v>75000</v>
      </c>
      <c r="F35" s="30">
        <f t="shared" si="2"/>
        <v>49500</v>
      </c>
    </row>
    <row r="36" spans="1:41" s="1" customFormat="1" ht="18.75" x14ac:dyDescent="0.25">
      <c r="A36" s="25" t="s">
        <v>394</v>
      </c>
      <c r="B36" s="26" t="s">
        <v>29</v>
      </c>
      <c r="C36" s="27" t="s">
        <v>195</v>
      </c>
      <c r="D36" s="80">
        <f>D35/0.05*0.1</f>
        <v>1.32</v>
      </c>
      <c r="E36" s="29">
        <v>350000</v>
      </c>
      <c r="F36" s="30">
        <f t="shared" si="2"/>
        <v>462000</v>
      </c>
    </row>
    <row r="37" spans="1:41" s="1" customFormat="1" ht="18.75" x14ac:dyDescent="0.25">
      <c r="A37" s="25" t="s">
        <v>395</v>
      </c>
      <c r="B37" s="26" t="s">
        <v>396</v>
      </c>
      <c r="C37" s="27" t="s">
        <v>195</v>
      </c>
      <c r="D37" s="80">
        <f xml:space="preserve"> 0.3*(((0.8+0.6)*0.2)-(0.2*0.2))+2*(1.55*2)*0.1*0.1</f>
        <v>0.13400000000000001</v>
      </c>
      <c r="E37" s="29">
        <v>70000</v>
      </c>
      <c r="F37" s="30">
        <f t="shared" si="2"/>
        <v>9380</v>
      </c>
    </row>
    <row r="38" spans="1:41" s="1" customFormat="1" ht="18.75" x14ac:dyDescent="0.25">
      <c r="A38" s="25" t="s">
        <v>397</v>
      </c>
      <c r="B38" s="26" t="s">
        <v>398</v>
      </c>
      <c r="C38" s="27" t="s">
        <v>194</v>
      </c>
      <c r="D38" s="80">
        <f>2*((0.8+0.6)-0.2)+((0.8+0.6)*2-0.2)+0.1*3</f>
        <v>5.3</v>
      </c>
      <c r="E38" s="29">
        <v>3800</v>
      </c>
      <c r="F38" s="30">
        <f t="shared" si="2"/>
        <v>20140</v>
      </c>
    </row>
    <row r="39" spans="1:41" s="1" customFormat="1" ht="18.75" x14ac:dyDescent="0.25">
      <c r="A39" s="25" t="s">
        <v>399</v>
      </c>
      <c r="B39" s="26" t="s">
        <v>196</v>
      </c>
      <c r="C39" s="27" t="s">
        <v>14</v>
      </c>
      <c r="D39" s="80">
        <v>1</v>
      </c>
      <c r="E39" s="29">
        <v>36000</v>
      </c>
      <c r="F39" s="30">
        <f t="shared" si="2"/>
        <v>36000</v>
      </c>
    </row>
    <row r="40" spans="1:41" s="1" customFormat="1" ht="15.75" x14ac:dyDescent="0.25">
      <c r="A40" s="352"/>
      <c r="B40" s="353" t="s">
        <v>494</v>
      </c>
      <c r="C40" s="354"/>
      <c r="D40" s="355"/>
      <c r="E40" s="356"/>
      <c r="F40" s="357">
        <f>SUM(F3:F39)</f>
        <v>158501918.96000001</v>
      </c>
    </row>
    <row r="41" spans="1:41" s="36" customFormat="1" ht="20.25" customHeight="1" x14ac:dyDescent="0.25">
      <c r="A41" s="358"/>
      <c r="B41" s="359" t="s">
        <v>852</v>
      </c>
      <c r="C41" s="360"/>
      <c r="D41" s="361" t="s">
        <v>642</v>
      </c>
      <c r="E41" s="362">
        <v>66</v>
      </c>
      <c r="F41" s="363">
        <f>F40*E41</f>
        <v>10461126651.360001</v>
      </c>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s="240" customFormat="1" ht="12" x14ac:dyDescent="0.2">
      <c r="C42" s="248"/>
    </row>
    <row r="43" spans="1:41" s="240" customFormat="1" ht="12" x14ac:dyDescent="0.2">
      <c r="C43" s="248"/>
    </row>
    <row r="44" spans="1:41" s="240" customFormat="1" ht="12" x14ac:dyDescent="0.2">
      <c r="C44" s="248"/>
    </row>
    <row r="45" spans="1:41" s="240" customFormat="1" ht="12" x14ac:dyDescent="0.2">
      <c r="C45" s="248"/>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AO46"/>
  <sheetViews>
    <sheetView topLeftCell="A22" zoomScale="98" zoomScaleNormal="98" workbookViewId="0">
      <selection activeCell="B30" sqref="B30"/>
    </sheetView>
  </sheetViews>
  <sheetFormatPr defaultRowHeight="15" x14ac:dyDescent="0.25"/>
  <cols>
    <col min="1" max="1" width="9.7109375" customWidth="1"/>
    <col min="2" max="2" width="96.28515625" customWidth="1"/>
    <col min="3" max="3" width="11.85546875" customWidth="1"/>
    <col min="5" max="5" width="15.42578125" customWidth="1"/>
    <col min="6" max="6" width="16.7109375" customWidth="1"/>
    <col min="7" max="7" width="15.140625" bestFit="1" customWidth="1"/>
    <col min="8" max="8" width="13.85546875" bestFit="1" customWidth="1"/>
  </cols>
  <sheetData>
    <row r="3" spans="1:9" s="240" customFormat="1" ht="12.75" x14ac:dyDescent="0.2">
      <c r="A3" s="234" t="s">
        <v>404</v>
      </c>
      <c r="B3" s="235" t="s">
        <v>405</v>
      </c>
      <c r="C3" s="236"/>
      <c r="D3" s="237"/>
      <c r="E3" s="238"/>
      <c r="F3" s="239"/>
      <c r="I3" s="241"/>
    </row>
    <row r="4" spans="1:9" s="240" customFormat="1" ht="12.75" x14ac:dyDescent="0.2">
      <c r="A4" s="242" t="s">
        <v>404</v>
      </c>
      <c r="B4" s="243" t="s">
        <v>406</v>
      </c>
      <c r="C4" s="244"/>
      <c r="D4" s="245"/>
      <c r="E4" s="246"/>
      <c r="F4" s="247"/>
      <c r="I4" s="248"/>
    </row>
    <row r="5" spans="1:9" s="240" customFormat="1" ht="14.25" x14ac:dyDescent="0.2">
      <c r="A5" s="249" t="s">
        <v>407</v>
      </c>
      <c r="B5" s="250" t="s">
        <v>331</v>
      </c>
      <c r="C5" s="251" t="s">
        <v>408</v>
      </c>
      <c r="D5" s="252">
        <v>79</v>
      </c>
      <c r="E5" s="253">
        <v>2400</v>
      </c>
      <c r="F5" s="254">
        <f>+D5*E5</f>
        <v>189600</v>
      </c>
      <c r="I5" s="248"/>
    </row>
    <row r="6" spans="1:9" s="240" customFormat="1" ht="14.25" x14ac:dyDescent="0.2">
      <c r="A6" s="249" t="s">
        <v>409</v>
      </c>
      <c r="B6" s="250" t="s">
        <v>333</v>
      </c>
      <c r="C6" s="251" t="s">
        <v>408</v>
      </c>
      <c r="D6" s="252">
        <v>53.6</v>
      </c>
      <c r="E6" s="253">
        <v>3300</v>
      </c>
      <c r="F6" s="254">
        <f>+D6*E6</f>
        <v>176880</v>
      </c>
      <c r="I6" s="248"/>
    </row>
    <row r="7" spans="1:9" s="240" customFormat="1" ht="14.25" x14ac:dyDescent="0.2">
      <c r="A7" s="249" t="s">
        <v>410</v>
      </c>
      <c r="B7" s="250" t="s">
        <v>335</v>
      </c>
      <c r="C7" s="251" t="s">
        <v>408</v>
      </c>
      <c r="D7" s="252">
        <v>658.8</v>
      </c>
      <c r="E7" s="253">
        <v>3300</v>
      </c>
      <c r="F7" s="254">
        <f>+D7*E7</f>
        <v>2174040</v>
      </c>
      <c r="I7" s="248"/>
    </row>
    <row r="8" spans="1:9" s="240" customFormat="1" ht="14.25" x14ac:dyDescent="0.2">
      <c r="A8" s="249" t="s">
        <v>411</v>
      </c>
      <c r="B8" s="250" t="s">
        <v>337</v>
      </c>
      <c r="C8" s="251" t="s">
        <v>408</v>
      </c>
      <c r="D8" s="252">
        <v>136.035</v>
      </c>
      <c r="E8" s="253">
        <v>1238</v>
      </c>
      <c r="F8" s="254">
        <f>+D8*E8</f>
        <v>168411.33</v>
      </c>
      <c r="I8" s="248"/>
    </row>
    <row r="9" spans="1:9" s="240" customFormat="1" ht="14.25" x14ac:dyDescent="0.2">
      <c r="A9" s="249" t="s">
        <v>412</v>
      </c>
      <c r="B9" s="250" t="s">
        <v>339</v>
      </c>
      <c r="C9" s="251" t="s">
        <v>408</v>
      </c>
      <c r="D9" s="252">
        <v>45.9</v>
      </c>
      <c r="E9" s="253">
        <v>33000</v>
      </c>
      <c r="F9" s="254">
        <f>D9*E9</f>
        <v>1514700</v>
      </c>
      <c r="I9" s="248"/>
    </row>
    <row r="10" spans="1:9" s="240" customFormat="1" ht="14.25" x14ac:dyDescent="0.2">
      <c r="A10" s="249" t="s">
        <v>413</v>
      </c>
      <c r="B10" s="250" t="s">
        <v>341</v>
      </c>
      <c r="C10" s="251" t="s">
        <v>408</v>
      </c>
      <c r="D10" s="255">
        <v>18</v>
      </c>
      <c r="E10" s="253">
        <v>100000</v>
      </c>
      <c r="F10" s="254">
        <f t="shared" ref="F10:F22" si="0">+D10*E10</f>
        <v>1800000</v>
      </c>
      <c r="I10" s="248"/>
    </row>
    <row r="11" spans="1:9" s="240" customFormat="1" ht="25.5" x14ac:dyDescent="0.2">
      <c r="A11" s="249" t="s">
        <v>414</v>
      </c>
      <c r="B11" s="250" t="s">
        <v>343</v>
      </c>
      <c r="C11" s="251" t="s">
        <v>408</v>
      </c>
      <c r="D11" s="252">
        <v>240</v>
      </c>
      <c r="E11" s="253">
        <v>350000</v>
      </c>
      <c r="F11" s="254">
        <f t="shared" si="0"/>
        <v>84000000</v>
      </c>
      <c r="I11" s="248"/>
    </row>
    <row r="12" spans="1:9" s="240" customFormat="1" ht="14.25" x14ac:dyDescent="0.2">
      <c r="A12" s="249" t="s">
        <v>415</v>
      </c>
      <c r="B12" s="250" t="s">
        <v>416</v>
      </c>
      <c r="C12" s="251" t="s">
        <v>408</v>
      </c>
      <c r="D12" s="255">
        <v>79.2</v>
      </c>
      <c r="E12" s="253">
        <v>350000</v>
      </c>
      <c r="F12" s="254">
        <f t="shared" si="0"/>
        <v>27720000</v>
      </c>
      <c r="I12" s="248"/>
    </row>
    <row r="13" spans="1:9" s="240" customFormat="1" ht="14.25" x14ac:dyDescent="0.2">
      <c r="A13" s="249" t="s">
        <v>417</v>
      </c>
      <c r="B13" s="250" t="s">
        <v>347</v>
      </c>
      <c r="C13" s="251" t="s">
        <v>408</v>
      </c>
      <c r="D13" s="255">
        <v>5.9039999999999999</v>
      </c>
      <c r="E13" s="253">
        <v>350000</v>
      </c>
      <c r="F13" s="254">
        <f t="shared" si="0"/>
        <v>2066400</v>
      </c>
      <c r="I13" s="248"/>
    </row>
    <row r="14" spans="1:9" s="240" customFormat="1" ht="12.75" x14ac:dyDescent="0.2">
      <c r="A14" s="249" t="s">
        <v>418</v>
      </c>
      <c r="B14" s="250" t="s">
        <v>349</v>
      </c>
      <c r="C14" s="251" t="s">
        <v>350</v>
      </c>
      <c r="D14" s="255">
        <v>135</v>
      </c>
      <c r="E14" s="253">
        <v>4125</v>
      </c>
      <c r="F14" s="254">
        <f t="shared" si="0"/>
        <v>556875</v>
      </c>
      <c r="I14" s="248"/>
    </row>
    <row r="15" spans="1:9" s="240" customFormat="1" ht="14.25" x14ac:dyDescent="0.2">
      <c r="A15" s="249" t="s">
        <v>419</v>
      </c>
      <c r="B15" s="250" t="s">
        <v>420</v>
      </c>
      <c r="C15" s="251" t="s">
        <v>408</v>
      </c>
      <c r="D15" s="255">
        <v>48.69</v>
      </c>
      <c r="E15" s="253">
        <v>350000</v>
      </c>
      <c r="F15" s="254">
        <f t="shared" si="0"/>
        <v>17041500</v>
      </c>
      <c r="I15" s="248"/>
    </row>
    <row r="16" spans="1:9" s="240" customFormat="1" ht="14.25" x14ac:dyDescent="0.2">
      <c r="A16" s="249" t="s">
        <v>421</v>
      </c>
      <c r="B16" s="250" t="s">
        <v>354</v>
      </c>
      <c r="C16" s="251" t="s">
        <v>422</v>
      </c>
      <c r="D16" s="255">
        <v>639</v>
      </c>
      <c r="E16" s="253">
        <v>8000</v>
      </c>
      <c r="F16" s="254">
        <f t="shared" si="0"/>
        <v>5112000</v>
      </c>
      <c r="I16" s="248"/>
    </row>
    <row r="17" spans="1:9" s="240" customFormat="1" ht="14.25" x14ac:dyDescent="0.2">
      <c r="A17" s="249" t="s">
        <v>423</v>
      </c>
      <c r="B17" s="250" t="s">
        <v>357</v>
      </c>
      <c r="C17" s="251" t="s">
        <v>422</v>
      </c>
      <c r="D17" s="255">
        <v>213.70500000000001</v>
      </c>
      <c r="E17" s="253">
        <v>6000</v>
      </c>
      <c r="F17" s="254">
        <f t="shared" si="0"/>
        <v>1282230</v>
      </c>
      <c r="I17" s="248"/>
    </row>
    <row r="18" spans="1:9" s="240" customFormat="1" ht="14.25" x14ac:dyDescent="0.2">
      <c r="A18" s="249" t="s">
        <v>424</v>
      </c>
      <c r="B18" s="256" t="s">
        <v>359</v>
      </c>
      <c r="C18" s="251" t="s">
        <v>422</v>
      </c>
      <c r="D18" s="252">
        <v>42.75</v>
      </c>
      <c r="E18" s="253">
        <v>4125</v>
      </c>
      <c r="F18" s="254">
        <f t="shared" si="0"/>
        <v>176343.75</v>
      </c>
      <c r="I18" s="248"/>
    </row>
    <row r="19" spans="1:9" s="240" customFormat="1" ht="12.75" x14ac:dyDescent="0.2">
      <c r="A19" s="249" t="s">
        <v>425</v>
      </c>
      <c r="B19" s="256" t="s">
        <v>361</v>
      </c>
      <c r="C19" s="251" t="s">
        <v>350</v>
      </c>
      <c r="D19" s="255">
        <v>27</v>
      </c>
      <c r="E19" s="253">
        <v>2000</v>
      </c>
      <c r="F19" s="254">
        <f t="shared" si="0"/>
        <v>54000</v>
      </c>
      <c r="I19" s="248"/>
    </row>
    <row r="20" spans="1:9" s="240" customFormat="1" ht="12.75" x14ac:dyDescent="0.2">
      <c r="A20" s="249" t="s">
        <v>426</v>
      </c>
      <c r="B20" s="256" t="s">
        <v>363</v>
      </c>
      <c r="C20" s="251" t="s">
        <v>14</v>
      </c>
      <c r="D20" s="252">
        <v>4.5</v>
      </c>
      <c r="E20" s="253">
        <v>66000</v>
      </c>
      <c r="F20" s="254">
        <f t="shared" si="0"/>
        <v>297000</v>
      </c>
      <c r="I20" s="248"/>
    </row>
    <row r="21" spans="1:9" s="240" customFormat="1" ht="12.75" x14ac:dyDescent="0.2">
      <c r="A21" s="249" t="s">
        <v>427</v>
      </c>
      <c r="B21" s="256" t="s">
        <v>365</v>
      </c>
      <c r="C21" s="251" t="s">
        <v>14</v>
      </c>
      <c r="D21" s="252">
        <v>2</v>
      </c>
      <c r="E21" s="253">
        <v>180000</v>
      </c>
      <c r="F21" s="254">
        <f t="shared" si="0"/>
        <v>360000</v>
      </c>
      <c r="I21" s="248"/>
    </row>
    <row r="22" spans="1:9" s="240" customFormat="1" ht="12.75" x14ac:dyDescent="0.2">
      <c r="A22" s="249" t="s">
        <v>428</v>
      </c>
      <c r="B22" s="257" t="s">
        <v>367</v>
      </c>
      <c r="C22" s="258" t="s">
        <v>368</v>
      </c>
      <c r="D22" s="252">
        <v>1</v>
      </c>
      <c r="E22" s="259">
        <v>7800000</v>
      </c>
      <c r="F22" s="260">
        <f t="shared" si="0"/>
        <v>7800000</v>
      </c>
      <c r="I22" s="248"/>
    </row>
    <row r="23" spans="1:9" s="240" customFormat="1" ht="12.75" x14ac:dyDescent="0.2">
      <c r="A23" s="249"/>
      <c r="B23" s="257"/>
      <c r="C23" s="258"/>
      <c r="D23" s="252"/>
      <c r="E23" s="261"/>
      <c r="F23" s="260"/>
      <c r="I23" s="248"/>
    </row>
    <row r="24" spans="1:9" s="240" customFormat="1" ht="12.75" x14ac:dyDescent="0.2">
      <c r="A24" s="249"/>
      <c r="B24" s="262" t="s">
        <v>369</v>
      </c>
      <c r="C24" s="263"/>
      <c r="D24" s="264"/>
      <c r="E24" s="265"/>
      <c r="F24" s="266"/>
      <c r="I24" s="248"/>
    </row>
    <row r="25" spans="1:9" s="240" customFormat="1" ht="14.25" x14ac:dyDescent="0.2">
      <c r="A25" s="249" t="s">
        <v>429</v>
      </c>
      <c r="B25" s="256" t="s">
        <v>371</v>
      </c>
      <c r="C25" s="251" t="s">
        <v>408</v>
      </c>
      <c r="D25" s="252">
        <v>29.7</v>
      </c>
      <c r="E25" s="253">
        <v>825</v>
      </c>
      <c r="F25" s="254">
        <f t="shared" ref="F25:F33" si="1">+D25*E25</f>
        <v>24502.5</v>
      </c>
      <c r="I25" s="248"/>
    </row>
    <row r="26" spans="1:9" s="240" customFormat="1" ht="14.25" x14ac:dyDescent="0.2">
      <c r="A26" s="249" t="s">
        <v>430</v>
      </c>
      <c r="B26" s="256" t="s">
        <v>373</v>
      </c>
      <c r="C26" s="251" t="s">
        <v>408</v>
      </c>
      <c r="D26" s="252">
        <v>2.0499999999999998</v>
      </c>
      <c r="E26" s="253">
        <v>57750</v>
      </c>
      <c r="F26" s="254">
        <f t="shared" si="1"/>
        <v>118387.49999999999</v>
      </c>
      <c r="I26" s="248"/>
    </row>
    <row r="27" spans="1:9" s="240" customFormat="1" ht="14.25" x14ac:dyDescent="0.2">
      <c r="A27" s="249" t="s">
        <v>431</v>
      </c>
      <c r="B27" s="256" t="s">
        <v>432</v>
      </c>
      <c r="C27" s="251" t="s">
        <v>408</v>
      </c>
      <c r="D27" s="252">
        <v>2.35</v>
      </c>
      <c r="E27" s="253">
        <v>198000</v>
      </c>
      <c r="F27" s="254">
        <f t="shared" si="1"/>
        <v>465300</v>
      </c>
      <c r="I27" s="248"/>
    </row>
    <row r="28" spans="1:9" s="240" customFormat="1" ht="14.25" x14ac:dyDescent="0.2">
      <c r="A28" s="249" t="s">
        <v>433</v>
      </c>
      <c r="B28" s="256" t="s">
        <v>377</v>
      </c>
      <c r="C28" s="251" t="s">
        <v>408</v>
      </c>
      <c r="D28" s="252">
        <v>6.89</v>
      </c>
      <c r="E28" s="253">
        <v>49500</v>
      </c>
      <c r="F28" s="254">
        <f t="shared" si="1"/>
        <v>341055</v>
      </c>
      <c r="I28" s="248"/>
    </row>
    <row r="29" spans="1:9" s="240" customFormat="1" ht="14.25" x14ac:dyDescent="0.2">
      <c r="A29" s="249" t="s">
        <v>434</v>
      </c>
      <c r="B29" s="256" t="s">
        <v>379</v>
      </c>
      <c r="C29" s="251" t="s">
        <v>408</v>
      </c>
      <c r="D29" s="252">
        <v>2.052</v>
      </c>
      <c r="E29" s="253">
        <v>214500</v>
      </c>
      <c r="F29" s="254">
        <f t="shared" si="1"/>
        <v>440154</v>
      </c>
      <c r="I29" s="248"/>
    </row>
    <row r="30" spans="1:9" s="240" customFormat="1" ht="14.25" x14ac:dyDescent="0.2">
      <c r="A30" s="249" t="s">
        <v>435</v>
      </c>
      <c r="B30" s="256" t="s">
        <v>381</v>
      </c>
      <c r="C30" s="251" t="s">
        <v>408</v>
      </c>
      <c r="D30" s="252">
        <v>1.3499999999999999</v>
      </c>
      <c r="E30" s="253">
        <v>33000</v>
      </c>
      <c r="F30" s="254">
        <f t="shared" si="1"/>
        <v>44549.999999999993</v>
      </c>
      <c r="I30" s="248"/>
    </row>
    <row r="31" spans="1:9" s="240" customFormat="1" ht="14.25" x14ac:dyDescent="0.2">
      <c r="A31" s="249" t="s">
        <v>436</v>
      </c>
      <c r="B31" s="256" t="s">
        <v>383</v>
      </c>
      <c r="C31" s="251" t="s">
        <v>408</v>
      </c>
      <c r="D31" s="252">
        <v>0.67499999999999993</v>
      </c>
      <c r="E31" s="253">
        <v>198000</v>
      </c>
      <c r="F31" s="254">
        <f t="shared" si="1"/>
        <v>133650</v>
      </c>
      <c r="I31" s="248"/>
    </row>
    <row r="32" spans="1:9" s="240" customFormat="1" ht="12.75" x14ac:dyDescent="0.2">
      <c r="A32" s="249" t="s">
        <v>437</v>
      </c>
      <c r="B32" s="256" t="s">
        <v>385</v>
      </c>
      <c r="C32" s="251" t="s">
        <v>14</v>
      </c>
      <c r="D32" s="252">
        <v>1</v>
      </c>
      <c r="E32" s="253">
        <v>66000</v>
      </c>
      <c r="F32" s="254">
        <f t="shared" si="1"/>
        <v>66000</v>
      </c>
      <c r="I32" s="248"/>
    </row>
    <row r="33" spans="1:41" s="240" customFormat="1" ht="12.75" x14ac:dyDescent="0.2">
      <c r="A33" s="249" t="s">
        <v>438</v>
      </c>
      <c r="B33" s="256" t="s">
        <v>387</v>
      </c>
      <c r="C33" s="251" t="s">
        <v>388</v>
      </c>
      <c r="D33" s="252">
        <v>9</v>
      </c>
      <c r="E33" s="253">
        <v>16500</v>
      </c>
      <c r="F33" s="254">
        <f t="shared" si="1"/>
        <v>148500</v>
      </c>
      <c r="I33" s="248"/>
    </row>
    <row r="34" spans="1:41" s="240" customFormat="1" ht="12.75" x14ac:dyDescent="0.2">
      <c r="A34" s="249" t="s">
        <v>439</v>
      </c>
      <c r="B34" s="267"/>
      <c r="C34" s="268"/>
      <c r="D34" s="269"/>
      <c r="E34" s="270"/>
      <c r="F34" s="271"/>
      <c r="I34" s="248"/>
    </row>
    <row r="35" spans="1:41" s="240" customFormat="1" ht="12.75" x14ac:dyDescent="0.2">
      <c r="A35" s="249" t="s">
        <v>440</v>
      </c>
      <c r="B35" s="272" t="s">
        <v>389</v>
      </c>
      <c r="C35" s="273"/>
      <c r="D35" s="274"/>
      <c r="E35" s="275"/>
      <c r="F35" s="276"/>
      <c r="I35" s="248"/>
    </row>
    <row r="36" spans="1:41" s="240" customFormat="1" ht="25.5" x14ac:dyDescent="0.2">
      <c r="A36" s="249" t="s">
        <v>441</v>
      </c>
      <c r="B36" s="277" t="s">
        <v>16</v>
      </c>
      <c r="C36" s="278" t="s">
        <v>408</v>
      </c>
      <c r="D36" s="279">
        <v>25</v>
      </c>
      <c r="E36" s="280">
        <v>2500</v>
      </c>
      <c r="F36" s="281">
        <f t="shared" ref="F36:F44" si="2">D36*E36</f>
        <v>62500</v>
      </c>
      <c r="I36" s="248"/>
    </row>
    <row r="37" spans="1:41" s="240" customFormat="1" ht="25.5" x14ac:dyDescent="0.2">
      <c r="A37" s="249" t="s">
        <v>442</v>
      </c>
      <c r="B37" s="277" t="s">
        <v>392</v>
      </c>
      <c r="C37" s="278" t="s">
        <v>408</v>
      </c>
      <c r="D37" s="279">
        <v>0.98999999999999988</v>
      </c>
      <c r="E37" s="280">
        <v>30000</v>
      </c>
      <c r="F37" s="281">
        <f t="shared" si="2"/>
        <v>29699.999999999996</v>
      </c>
      <c r="I37" s="248"/>
    </row>
    <row r="38" spans="1:41" s="240" customFormat="1" ht="14.25" x14ac:dyDescent="0.2">
      <c r="A38" s="249" t="s">
        <v>443</v>
      </c>
      <c r="B38" s="282" t="s">
        <v>18</v>
      </c>
      <c r="C38" s="278" t="s">
        <v>408</v>
      </c>
      <c r="D38" s="279">
        <v>0.24749999999999997</v>
      </c>
      <c r="E38" s="280">
        <v>75000</v>
      </c>
      <c r="F38" s="281">
        <f t="shared" si="2"/>
        <v>18562.499999999996</v>
      </c>
      <c r="I38" s="248"/>
    </row>
    <row r="39" spans="1:41" s="240" customFormat="1" ht="14.25" x14ac:dyDescent="0.2">
      <c r="A39" s="249" t="s">
        <v>444</v>
      </c>
      <c r="B39" s="277" t="s">
        <v>29</v>
      </c>
      <c r="C39" s="278" t="s">
        <v>408</v>
      </c>
      <c r="D39" s="279">
        <v>0.49499999999999994</v>
      </c>
      <c r="E39" s="280">
        <v>350000</v>
      </c>
      <c r="F39" s="281">
        <f t="shared" si="2"/>
        <v>173249.99999999997</v>
      </c>
      <c r="I39" s="248"/>
    </row>
    <row r="40" spans="1:41" s="240" customFormat="1" ht="14.25" x14ac:dyDescent="0.2">
      <c r="A40" s="249" t="s">
        <v>445</v>
      </c>
      <c r="B40" s="277" t="s">
        <v>396</v>
      </c>
      <c r="C40" s="278" t="s">
        <v>408</v>
      </c>
      <c r="D40" s="279">
        <v>0.30149999999999999</v>
      </c>
      <c r="E40" s="280">
        <v>70000</v>
      </c>
      <c r="F40" s="281">
        <f t="shared" si="2"/>
        <v>21105</v>
      </c>
      <c r="I40" s="248"/>
    </row>
    <row r="41" spans="1:41" s="240" customFormat="1" ht="14.25" x14ac:dyDescent="0.2">
      <c r="A41" s="249" t="s">
        <v>446</v>
      </c>
      <c r="B41" s="277" t="s">
        <v>398</v>
      </c>
      <c r="C41" s="278" t="s">
        <v>447</v>
      </c>
      <c r="D41" s="279">
        <v>25.3</v>
      </c>
      <c r="E41" s="280">
        <v>3800</v>
      </c>
      <c r="F41" s="281">
        <f t="shared" si="2"/>
        <v>96140</v>
      </c>
      <c r="I41" s="248"/>
    </row>
    <row r="42" spans="1:41" s="240" customFormat="1" ht="14.25" x14ac:dyDescent="0.2">
      <c r="A42" s="249" t="s">
        <v>448</v>
      </c>
      <c r="B42" s="277" t="s">
        <v>449</v>
      </c>
      <c r="C42" s="278" t="s">
        <v>14</v>
      </c>
      <c r="D42" s="279">
        <v>5</v>
      </c>
      <c r="E42" s="280">
        <v>36000</v>
      </c>
      <c r="F42" s="281">
        <f t="shared" si="2"/>
        <v>180000</v>
      </c>
      <c r="I42" s="248"/>
    </row>
    <row r="43" spans="1:41" s="240" customFormat="1" ht="25.5" x14ac:dyDescent="0.2">
      <c r="A43" s="249" t="s">
        <v>450</v>
      </c>
      <c r="B43" s="283" t="s">
        <v>451</v>
      </c>
      <c r="C43" s="284" t="s">
        <v>11</v>
      </c>
      <c r="D43" s="285">
        <v>320</v>
      </c>
      <c r="E43" s="286">
        <v>81050</v>
      </c>
      <c r="F43" s="287">
        <f t="shared" si="2"/>
        <v>25936000</v>
      </c>
      <c r="I43" s="248"/>
    </row>
    <row r="44" spans="1:41" s="240" customFormat="1" ht="25.5" x14ac:dyDescent="0.2">
      <c r="A44" s="249" t="s">
        <v>452</v>
      </c>
      <c r="B44" s="288" t="s">
        <v>453</v>
      </c>
      <c r="C44" s="278" t="s">
        <v>14</v>
      </c>
      <c r="D44" s="289">
        <v>1</v>
      </c>
      <c r="E44" s="290">
        <f>(4*2)*65000</f>
        <v>520000</v>
      </c>
      <c r="F44" s="291">
        <f t="shared" si="2"/>
        <v>520000</v>
      </c>
      <c r="I44" s="248"/>
    </row>
    <row r="45" spans="1:41" s="1" customFormat="1" ht="15.75" x14ac:dyDescent="0.25">
      <c r="A45" s="352"/>
      <c r="B45" s="353" t="s">
        <v>454</v>
      </c>
      <c r="C45" s="354"/>
      <c r="D45" s="364"/>
      <c r="E45" s="365"/>
      <c r="F45" s="357">
        <f>SUM(F5:F44)</f>
        <v>181309336.57999998</v>
      </c>
    </row>
    <row r="46" spans="1:41" s="36" customFormat="1" ht="15.75" x14ac:dyDescent="0.25">
      <c r="A46" s="358"/>
      <c r="B46" s="359" t="s">
        <v>853</v>
      </c>
      <c r="C46" s="360"/>
      <c r="D46" s="361" t="s">
        <v>642</v>
      </c>
      <c r="E46" s="362">
        <v>66</v>
      </c>
      <c r="F46" s="363">
        <f>F45*E46</f>
        <v>11966416214.279999</v>
      </c>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206"/>
  <sheetViews>
    <sheetView workbookViewId="0">
      <selection activeCell="B30" sqref="B30"/>
    </sheetView>
  </sheetViews>
  <sheetFormatPr defaultRowHeight="15" x14ac:dyDescent="0.25"/>
  <cols>
    <col min="1" max="1" width="9.7109375" customWidth="1"/>
    <col min="2" max="2" width="96.28515625" customWidth="1"/>
    <col min="3" max="3" width="11.85546875" customWidth="1"/>
    <col min="5" max="5" width="15.42578125" customWidth="1"/>
    <col min="6" max="6" width="15.85546875" customWidth="1"/>
    <col min="7" max="7" width="15.140625" bestFit="1" customWidth="1"/>
    <col min="8" max="8" width="13.85546875" bestFit="1" customWidth="1"/>
    <col min="10" max="10" width="11.28515625" bestFit="1" customWidth="1"/>
  </cols>
  <sheetData>
    <row r="1" spans="1:20" s="370" customFormat="1" x14ac:dyDescent="0.25">
      <c r="A1" s="368">
        <v>4</v>
      </c>
      <c r="B1" s="895" t="s">
        <v>1</v>
      </c>
      <c r="C1" s="895"/>
      <c r="D1" s="895"/>
      <c r="E1" s="895"/>
      <c r="F1" s="896"/>
      <c r="G1"/>
      <c r="H1"/>
      <c r="I1" s="369"/>
      <c r="J1" s="369"/>
      <c r="K1"/>
      <c r="L1"/>
      <c r="M1"/>
      <c r="N1"/>
      <c r="O1"/>
      <c r="P1"/>
      <c r="Q1"/>
      <c r="R1"/>
      <c r="S1"/>
      <c r="T1"/>
    </row>
    <row r="2" spans="1:20" s="370" customFormat="1" x14ac:dyDescent="0.25">
      <c r="A2" s="371"/>
      <c r="B2" s="372"/>
      <c r="C2" s="189"/>
      <c r="D2" s="190"/>
      <c r="E2" s="191"/>
      <c r="F2" s="373"/>
      <c r="G2"/>
      <c r="H2"/>
      <c r="I2" s="369"/>
      <c r="J2" s="369"/>
      <c r="K2"/>
      <c r="L2"/>
      <c r="M2"/>
      <c r="N2"/>
      <c r="O2"/>
      <c r="P2"/>
      <c r="Q2"/>
      <c r="R2"/>
      <c r="S2"/>
      <c r="T2"/>
    </row>
    <row r="3" spans="1:20" s="370" customFormat="1" x14ac:dyDescent="0.25">
      <c r="A3" s="187">
        <v>4.0999999999999996</v>
      </c>
      <c r="B3" s="897" t="s">
        <v>654</v>
      </c>
      <c r="C3" s="898"/>
      <c r="D3" s="898"/>
      <c r="E3" s="898"/>
      <c r="F3" s="899"/>
      <c r="G3"/>
      <c r="H3"/>
      <c r="I3" s="369"/>
      <c r="J3" s="369"/>
      <c r="K3"/>
      <c r="L3"/>
      <c r="M3"/>
      <c r="N3"/>
      <c r="O3"/>
      <c r="P3"/>
      <c r="Q3"/>
      <c r="R3"/>
      <c r="S3"/>
      <c r="T3"/>
    </row>
    <row r="4" spans="1:20" s="370" customFormat="1" x14ac:dyDescent="0.25">
      <c r="A4" s="242"/>
      <c r="B4" s="374"/>
      <c r="C4" s="375"/>
      <c r="D4" s="375"/>
      <c r="E4" s="375"/>
      <c r="F4" s="376"/>
      <c r="G4"/>
      <c r="H4"/>
      <c r="I4" s="369"/>
      <c r="J4" s="369"/>
      <c r="K4"/>
      <c r="L4"/>
      <c r="M4"/>
      <c r="N4"/>
      <c r="O4"/>
      <c r="P4"/>
      <c r="Q4"/>
      <c r="R4"/>
      <c r="S4"/>
      <c r="T4"/>
    </row>
    <row r="5" spans="1:20" s="370" customFormat="1" x14ac:dyDescent="0.25">
      <c r="A5" s="242" t="s">
        <v>89</v>
      </c>
      <c r="B5" s="243" t="s">
        <v>655</v>
      </c>
      <c r="C5" s="244"/>
      <c r="D5" s="245"/>
      <c r="E5" s="246"/>
      <c r="F5" s="247"/>
      <c r="G5"/>
      <c r="H5"/>
      <c r="I5" s="369"/>
      <c r="J5" s="369"/>
      <c r="K5"/>
      <c r="L5"/>
      <c r="M5"/>
      <c r="N5"/>
      <c r="O5"/>
      <c r="P5"/>
      <c r="Q5"/>
      <c r="R5"/>
      <c r="S5"/>
      <c r="T5"/>
    </row>
    <row r="6" spans="1:20" s="370" customFormat="1" x14ac:dyDescent="0.25">
      <c r="A6" s="249" t="s">
        <v>90</v>
      </c>
      <c r="B6" s="250" t="s">
        <v>331</v>
      </c>
      <c r="C6" s="251" t="s">
        <v>408</v>
      </c>
      <c r="D6" s="252">
        <v>20.82</v>
      </c>
      <c r="E6" s="253">
        <v>2400</v>
      </c>
      <c r="F6" s="254">
        <f>+D6*E6</f>
        <v>49968</v>
      </c>
      <c r="G6"/>
      <c r="H6"/>
      <c r="I6" s="369"/>
      <c r="J6" s="369"/>
      <c r="K6"/>
      <c r="L6"/>
      <c r="M6"/>
      <c r="N6"/>
      <c r="O6"/>
      <c r="P6"/>
      <c r="Q6"/>
      <c r="R6"/>
      <c r="S6"/>
      <c r="T6"/>
    </row>
    <row r="7" spans="1:20" s="370" customFormat="1" x14ac:dyDescent="0.25">
      <c r="A7" s="249" t="s">
        <v>91</v>
      </c>
      <c r="B7" s="250" t="s">
        <v>333</v>
      </c>
      <c r="C7" s="251" t="s">
        <v>408</v>
      </c>
      <c r="D7" s="252">
        <v>13</v>
      </c>
      <c r="E7" s="253">
        <v>3300</v>
      </c>
      <c r="F7" s="254">
        <f>+D7*E7</f>
        <v>42900</v>
      </c>
      <c r="G7"/>
      <c r="H7"/>
      <c r="I7" s="369"/>
      <c r="J7" s="369"/>
      <c r="K7"/>
      <c r="L7"/>
      <c r="M7"/>
      <c r="N7"/>
      <c r="O7"/>
      <c r="P7"/>
      <c r="Q7"/>
      <c r="R7"/>
      <c r="S7"/>
      <c r="T7"/>
    </row>
    <row r="8" spans="1:20" s="370" customFormat="1" x14ac:dyDescent="0.25">
      <c r="A8" s="249" t="s">
        <v>92</v>
      </c>
      <c r="B8" s="250" t="s">
        <v>335</v>
      </c>
      <c r="C8" s="251" t="s">
        <v>408</v>
      </c>
      <c r="D8" s="252">
        <v>125.69</v>
      </c>
      <c r="E8" s="253">
        <v>3300</v>
      </c>
      <c r="F8" s="254">
        <f>+D8*E8</f>
        <v>414777</v>
      </c>
      <c r="G8"/>
      <c r="H8"/>
      <c r="I8" s="369"/>
      <c r="J8" s="369"/>
      <c r="K8"/>
      <c r="L8"/>
      <c r="M8"/>
      <c r="N8"/>
      <c r="O8"/>
      <c r="P8"/>
      <c r="Q8"/>
      <c r="R8"/>
      <c r="S8"/>
      <c r="T8"/>
    </row>
    <row r="9" spans="1:20" s="370" customFormat="1" x14ac:dyDescent="0.25">
      <c r="A9" s="249" t="s">
        <v>93</v>
      </c>
      <c r="B9" s="250" t="s">
        <v>337</v>
      </c>
      <c r="C9" s="251" t="s">
        <v>408</v>
      </c>
      <c r="D9" s="252">
        <v>60.46</v>
      </c>
      <c r="E9" s="253">
        <v>1238</v>
      </c>
      <c r="F9" s="254">
        <f>+D9*E9</f>
        <v>74849.48</v>
      </c>
      <c r="G9"/>
      <c r="H9"/>
      <c r="I9" s="369"/>
      <c r="J9" s="369"/>
      <c r="K9"/>
      <c r="L9"/>
      <c r="M9"/>
      <c r="N9"/>
      <c r="O9"/>
      <c r="P9"/>
      <c r="Q9"/>
      <c r="R9"/>
      <c r="S9"/>
      <c r="T9"/>
    </row>
    <row r="10" spans="1:20" s="370" customFormat="1" x14ac:dyDescent="0.25">
      <c r="A10" s="249" t="s">
        <v>94</v>
      </c>
      <c r="B10" s="250" t="s">
        <v>339</v>
      </c>
      <c r="C10" s="251" t="s">
        <v>408</v>
      </c>
      <c r="D10" s="252">
        <v>20.399999999999999</v>
      </c>
      <c r="E10" s="253">
        <v>33000</v>
      </c>
      <c r="F10" s="254">
        <f>E10*D10</f>
        <v>673200</v>
      </c>
      <c r="G10"/>
      <c r="H10"/>
      <c r="I10" s="369"/>
      <c r="J10" s="369"/>
      <c r="K10"/>
      <c r="L10"/>
      <c r="M10"/>
      <c r="N10"/>
      <c r="O10"/>
      <c r="P10"/>
      <c r="Q10"/>
      <c r="R10"/>
      <c r="S10"/>
      <c r="T10"/>
    </row>
    <row r="11" spans="1:20" s="370" customFormat="1" x14ac:dyDescent="0.25">
      <c r="A11" s="249" t="s">
        <v>95</v>
      </c>
      <c r="B11" s="250" t="s">
        <v>341</v>
      </c>
      <c r="C11" s="251" t="s">
        <v>408</v>
      </c>
      <c r="D11" s="255">
        <v>6</v>
      </c>
      <c r="E11" s="253">
        <v>100000</v>
      </c>
      <c r="F11" s="254">
        <f t="shared" ref="F11:F23" si="0">+D11*E11</f>
        <v>600000</v>
      </c>
      <c r="G11"/>
      <c r="H11"/>
      <c r="I11" s="369"/>
      <c r="J11" s="369"/>
      <c r="K11"/>
      <c r="L11"/>
      <c r="M11"/>
      <c r="N11"/>
      <c r="O11"/>
      <c r="P11"/>
      <c r="Q11"/>
      <c r="R11"/>
      <c r="S11"/>
      <c r="T11"/>
    </row>
    <row r="12" spans="1:20" s="370" customFormat="1" ht="25.5" x14ac:dyDescent="0.25">
      <c r="A12" s="249" t="s">
        <v>96</v>
      </c>
      <c r="B12" s="250" t="s">
        <v>343</v>
      </c>
      <c r="C12" s="251" t="s">
        <v>408</v>
      </c>
      <c r="D12" s="252">
        <v>28</v>
      </c>
      <c r="E12" s="253">
        <v>350000</v>
      </c>
      <c r="F12" s="254">
        <f t="shared" si="0"/>
        <v>9800000</v>
      </c>
      <c r="G12"/>
      <c r="H12"/>
      <c r="I12" s="369"/>
      <c r="J12" s="369"/>
      <c r="K12"/>
      <c r="L12"/>
      <c r="M12"/>
      <c r="N12"/>
      <c r="O12"/>
      <c r="P12"/>
      <c r="Q12"/>
      <c r="R12"/>
      <c r="S12"/>
      <c r="T12"/>
    </row>
    <row r="13" spans="1:20" s="370" customFormat="1" x14ac:dyDescent="0.25">
      <c r="A13" s="249" t="s">
        <v>97</v>
      </c>
      <c r="B13" s="250" t="s">
        <v>416</v>
      </c>
      <c r="C13" s="251" t="s">
        <v>408</v>
      </c>
      <c r="D13" s="255">
        <v>35.200000000000003</v>
      </c>
      <c r="E13" s="253">
        <v>350000</v>
      </c>
      <c r="F13" s="254">
        <f t="shared" si="0"/>
        <v>12320000.000000002</v>
      </c>
      <c r="G13"/>
      <c r="H13"/>
      <c r="I13" s="369"/>
      <c r="J13" s="369"/>
      <c r="K13"/>
      <c r="L13"/>
      <c r="M13"/>
      <c r="N13"/>
      <c r="O13"/>
      <c r="P13"/>
      <c r="Q13"/>
      <c r="R13"/>
      <c r="S13"/>
      <c r="T13"/>
    </row>
    <row r="14" spans="1:20" s="370" customFormat="1" x14ac:dyDescent="0.25">
      <c r="A14" s="249" t="s">
        <v>98</v>
      </c>
      <c r="B14" s="250" t="s">
        <v>347</v>
      </c>
      <c r="C14" s="251" t="s">
        <v>408</v>
      </c>
      <c r="D14" s="255">
        <v>2.6240000000000001</v>
      </c>
      <c r="E14" s="253">
        <v>350000</v>
      </c>
      <c r="F14" s="254">
        <f t="shared" si="0"/>
        <v>918400</v>
      </c>
      <c r="G14"/>
      <c r="H14"/>
      <c r="I14" s="369"/>
      <c r="J14" s="369"/>
      <c r="K14"/>
      <c r="L14"/>
      <c r="M14"/>
      <c r="N14"/>
      <c r="O14"/>
      <c r="P14"/>
      <c r="Q14"/>
      <c r="R14"/>
      <c r="S14"/>
      <c r="T14"/>
    </row>
    <row r="15" spans="1:20" s="377" customFormat="1" x14ac:dyDescent="0.25">
      <c r="A15" s="249" t="s">
        <v>99</v>
      </c>
      <c r="B15" s="250" t="s">
        <v>349</v>
      </c>
      <c r="C15" s="251" t="s">
        <v>350</v>
      </c>
      <c r="D15" s="255">
        <v>60</v>
      </c>
      <c r="E15" s="253">
        <v>4125</v>
      </c>
      <c r="F15" s="254">
        <f t="shared" si="0"/>
        <v>247500</v>
      </c>
      <c r="G15"/>
      <c r="H15" s="240"/>
      <c r="I15" s="248"/>
      <c r="J15" s="248"/>
      <c r="K15" s="240"/>
      <c r="L15" s="240"/>
      <c r="M15" s="240"/>
      <c r="N15" s="240"/>
      <c r="O15" s="240"/>
      <c r="P15" s="240"/>
      <c r="Q15" s="240"/>
      <c r="R15" s="240"/>
      <c r="S15" s="240"/>
      <c r="T15" s="240"/>
    </row>
    <row r="16" spans="1:20" s="377" customFormat="1" x14ac:dyDescent="0.25">
      <c r="A16" s="249" t="s">
        <v>100</v>
      </c>
      <c r="B16" s="250" t="s">
        <v>420</v>
      </c>
      <c r="C16" s="251" t="s">
        <v>408</v>
      </c>
      <c r="D16" s="255">
        <v>21.64</v>
      </c>
      <c r="E16" s="253">
        <v>350000</v>
      </c>
      <c r="F16" s="254">
        <f t="shared" si="0"/>
        <v>7574000</v>
      </c>
      <c r="G16"/>
      <c r="H16" s="240"/>
      <c r="I16" s="248"/>
      <c r="J16" s="248"/>
      <c r="K16" s="240"/>
      <c r="L16" s="240"/>
      <c r="M16" s="240"/>
      <c r="N16" s="240"/>
      <c r="O16" s="240"/>
      <c r="P16" s="240"/>
      <c r="Q16" s="240"/>
      <c r="R16" s="240"/>
      <c r="S16" s="240"/>
      <c r="T16" s="240"/>
    </row>
    <row r="17" spans="1:20" s="377" customFormat="1" x14ac:dyDescent="0.25">
      <c r="A17" s="249" t="s">
        <v>101</v>
      </c>
      <c r="B17" s="250" t="s">
        <v>354</v>
      </c>
      <c r="C17" s="251" t="s">
        <v>422</v>
      </c>
      <c r="D17" s="255">
        <v>284</v>
      </c>
      <c r="E17" s="253">
        <v>8000</v>
      </c>
      <c r="F17" s="254">
        <f t="shared" si="0"/>
        <v>2272000</v>
      </c>
      <c r="G17"/>
      <c r="H17" s="240"/>
      <c r="I17" s="248"/>
      <c r="J17" s="248"/>
      <c r="K17" s="240"/>
      <c r="L17" s="240"/>
      <c r="M17" s="240"/>
      <c r="N17" s="240"/>
      <c r="O17" s="240"/>
      <c r="P17" s="240"/>
      <c r="Q17" s="240"/>
      <c r="R17" s="240"/>
      <c r="S17" s="240"/>
      <c r="T17" s="240"/>
    </row>
    <row r="18" spans="1:20" s="377" customFormat="1" x14ac:dyDescent="0.25">
      <c r="A18" s="249" t="s">
        <v>656</v>
      </c>
      <c r="B18" s="250" t="s">
        <v>357</v>
      </c>
      <c r="C18" s="251" t="s">
        <v>422</v>
      </c>
      <c r="D18" s="255">
        <v>94.98</v>
      </c>
      <c r="E18" s="253">
        <v>6000</v>
      </c>
      <c r="F18" s="254">
        <f t="shared" si="0"/>
        <v>569880</v>
      </c>
      <c r="G18"/>
      <c r="H18" s="240"/>
      <c r="I18" s="248"/>
      <c r="J18" s="248"/>
      <c r="K18" s="240"/>
      <c r="L18" s="240"/>
      <c r="M18" s="240"/>
      <c r="N18" s="240"/>
      <c r="O18" s="240"/>
      <c r="P18" s="240"/>
      <c r="Q18" s="240"/>
      <c r="R18" s="240"/>
      <c r="S18" s="240"/>
      <c r="T18" s="240"/>
    </row>
    <row r="19" spans="1:20" s="377" customFormat="1" x14ac:dyDescent="0.25">
      <c r="A19" s="249" t="s">
        <v>657</v>
      </c>
      <c r="B19" s="256" t="s">
        <v>359</v>
      </c>
      <c r="C19" s="251" t="s">
        <v>422</v>
      </c>
      <c r="D19" s="252">
        <v>19</v>
      </c>
      <c r="E19" s="253">
        <v>4125</v>
      </c>
      <c r="F19" s="254">
        <f t="shared" si="0"/>
        <v>78375</v>
      </c>
      <c r="G19"/>
      <c r="H19" s="240"/>
      <c r="I19" s="248"/>
      <c r="J19" s="248"/>
      <c r="K19" s="240"/>
      <c r="L19" s="240"/>
      <c r="M19" s="240"/>
      <c r="N19" s="240"/>
      <c r="O19" s="240"/>
      <c r="P19" s="240"/>
      <c r="Q19" s="240"/>
      <c r="R19" s="240"/>
      <c r="S19" s="240"/>
      <c r="T19" s="240"/>
    </row>
    <row r="20" spans="1:20" s="377" customFormat="1" x14ac:dyDescent="0.25">
      <c r="A20" s="249" t="s">
        <v>658</v>
      </c>
      <c r="B20" s="256" t="s">
        <v>361</v>
      </c>
      <c r="C20" s="251" t="s">
        <v>350</v>
      </c>
      <c r="D20" s="255">
        <v>12</v>
      </c>
      <c r="E20" s="253">
        <v>2000</v>
      </c>
      <c r="F20" s="254">
        <f t="shared" si="0"/>
        <v>24000</v>
      </c>
      <c r="G20"/>
      <c r="H20" s="240"/>
      <c r="I20" s="248"/>
      <c r="J20" s="248"/>
      <c r="K20" s="240"/>
      <c r="L20" s="240"/>
      <c r="M20" s="240"/>
      <c r="N20" s="240"/>
      <c r="O20" s="240"/>
      <c r="P20" s="240"/>
      <c r="Q20" s="240"/>
      <c r="R20" s="240"/>
      <c r="S20" s="240"/>
      <c r="T20" s="240"/>
    </row>
    <row r="21" spans="1:20" s="377" customFormat="1" x14ac:dyDescent="0.25">
      <c r="A21" s="249" t="s">
        <v>659</v>
      </c>
      <c r="B21" s="256" t="s">
        <v>363</v>
      </c>
      <c r="C21" s="251" t="s">
        <v>14</v>
      </c>
      <c r="D21" s="252">
        <v>2</v>
      </c>
      <c r="E21" s="253">
        <v>66000</v>
      </c>
      <c r="F21" s="254">
        <f t="shared" si="0"/>
        <v>132000</v>
      </c>
      <c r="G21"/>
      <c r="H21" s="240"/>
      <c r="I21" s="248"/>
      <c r="J21" s="248"/>
      <c r="K21" s="240"/>
      <c r="L21" s="240"/>
      <c r="M21" s="240"/>
      <c r="N21" s="240"/>
      <c r="O21" s="240"/>
      <c r="P21" s="240"/>
      <c r="Q21" s="240"/>
      <c r="R21" s="240"/>
      <c r="S21" s="240"/>
      <c r="T21" s="240"/>
    </row>
    <row r="22" spans="1:20" s="377" customFormat="1" x14ac:dyDescent="0.25">
      <c r="A22" s="249" t="s">
        <v>660</v>
      </c>
      <c r="B22" s="256" t="s">
        <v>365</v>
      </c>
      <c r="C22" s="251" t="s">
        <v>14</v>
      </c>
      <c r="D22" s="252">
        <v>1</v>
      </c>
      <c r="E22" s="253">
        <v>180000</v>
      </c>
      <c r="F22" s="254">
        <f t="shared" si="0"/>
        <v>180000</v>
      </c>
      <c r="G22"/>
      <c r="H22" s="240"/>
      <c r="I22" s="248"/>
      <c r="J22" s="248"/>
      <c r="K22" s="240"/>
      <c r="L22" s="240"/>
      <c r="M22" s="240"/>
      <c r="N22" s="240"/>
      <c r="O22" s="240"/>
      <c r="P22" s="240"/>
      <c r="Q22" s="240"/>
      <c r="R22" s="240"/>
      <c r="S22" s="240"/>
      <c r="T22" s="240"/>
    </row>
    <row r="23" spans="1:20" s="377" customFormat="1" x14ac:dyDescent="0.25">
      <c r="A23" s="249" t="s">
        <v>661</v>
      </c>
      <c r="B23" s="257" t="s">
        <v>367</v>
      </c>
      <c r="C23" s="258" t="s">
        <v>368</v>
      </c>
      <c r="D23" s="252">
        <v>1</v>
      </c>
      <c r="E23" s="259">
        <v>7800000</v>
      </c>
      <c r="F23" s="260">
        <f t="shared" si="0"/>
        <v>7800000</v>
      </c>
      <c r="G23" s="378"/>
      <c r="H23" s="240"/>
      <c r="I23" s="248"/>
      <c r="J23" s="248"/>
      <c r="K23" s="240"/>
      <c r="L23" s="240"/>
      <c r="M23" s="240"/>
      <c r="N23" s="240"/>
      <c r="O23" s="240"/>
      <c r="P23" s="240"/>
      <c r="Q23" s="240"/>
      <c r="R23" s="240"/>
      <c r="S23" s="240"/>
      <c r="T23" s="240"/>
    </row>
    <row r="24" spans="1:20" s="377" customFormat="1" x14ac:dyDescent="0.25">
      <c r="A24" s="249"/>
      <c r="B24" s="257"/>
      <c r="C24" s="258"/>
      <c r="D24" s="252"/>
      <c r="E24" s="261"/>
      <c r="F24" s="260"/>
      <c r="G24"/>
      <c r="H24" s="240"/>
      <c r="I24" s="248"/>
      <c r="J24" s="248"/>
      <c r="K24" s="240"/>
      <c r="L24" s="240"/>
      <c r="M24" s="240"/>
      <c r="N24" s="240"/>
      <c r="O24" s="240"/>
      <c r="P24" s="240"/>
      <c r="Q24" s="240"/>
      <c r="R24" s="240"/>
      <c r="S24" s="240"/>
      <c r="T24" s="240"/>
    </row>
    <row r="25" spans="1:20" s="377" customFormat="1" x14ac:dyDescent="0.25">
      <c r="A25" s="249"/>
      <c r="B25" s="262" t="s">
        <v>369</v>
      </c>
      <c r="C25" s="263"/>
      <c r="D25" s="264"/>
      <c r="E25" s="265"/>
      <c r="F25" s="266"/>
      <c r="G25"/>
      <c r="H25" s="240"/>
      <c r="I25" s="248"/>
      <c r="J25" s="248"/>
      <c r="K25" s="240"/>
      <c r="L25" s="240"/>
      <c r="M25" s="240"/>
      <c r="N25" s="240"/>
      <c r="O25" s="240"/>
      <c r="P25" s="240"/>
      <c r="Q25" s="240"/>
      <c r="R25" s="240"/>
      <c r="S25" s="240"/>
      <c r="T25" s="240"/>
    </row>
    <row r="26" spans="1:20" s="377" customFormat="1" x14ac:dyDescent="0.25">
      <c r="A26" s="249" t="s">
        <v>662</v>
      </c>
      <c r="B26" s="256" t="s">
        <v>371</v>
      </c>
      <c r="C26" s="251" t="s">
        <v>408</v>
      </c>
      <c r="D26" s="252">
        <v>13.2</v>
      </c>
      <c r="E26" s="253">
        <v>825</v>
      </c>
      <c r="F26" s="254">
        <f t="shared" ref="F26:F34" si="1">+D26*E26</f>
        <v>10890</v>
      </c>
      <c r="G26"/>
      <c r="H26" s="240"/>
      <c r="I26" s="248"/>
      <c r="J26" s="248"/>
      <c r="K26" s="240"/>
      <c r="L26" s="240"/>
      <c r="M26" s="240"/>
      <c r="N26" s="240"/>
      <c r="O26" s="240"/>
      <c r="P26" s="240"/>
      <c r="Q26" s="240"/>
      <c r="R26" s="240"/>
      <c r="S26" s="240"/>
      <c r="T26" s="240"/>
    </row>
    <row r="27" spans="1:20" s="377" customFormat="1" x14ac:dyDescent="0.25">
      <c r="A27" s="249" t="s">
        <v>663</v>
      </c>
      <c r="B27" s="256" t="s">
        <v>373</v>
      </c>
      <c r="C27" s="251" t="s">
        <v>408</v>
      </c>
      <c r="D27" s="252">
        <v>0.45600000000000002</v>
      </c>
      <c r="E27" s="253">
        <v>57750</v>
      </c>
      <c r="F27" s="254">
        <f t="shared" si="1"/>
        <v>26334</v>
      </c>
      <c r="G27"/>
      <c r="H27" s="240"/>
      <c r="I27" s="248"/>
      <c r="J27" s="248"/>
      <c r="K27" s="240"/>
      <c r="L27" s="240"/>
      <c r="M27" s="240"/>
      <c r="N27" s="240"/>
      <c r="O27" s="240"/>
      <c r="P27" s="240"/>
      <c r="Q27" s="240"/>
      <c r="R27" s="240"/>
      <c r="S27" s="240"/>
      <c r="T27" s="240"/>
    </row>
    <row r="28" spans="1:20" s="240" customFormat="1" x14ac:dyDescent="0.25">
      <c r="A28" s="249" t="s">
        <v>664</v>
      </c>
      <c r="B28" s="256" t="s">
        <v>432</v>
      </c>
      <c r="C28" s="251" t="s">
        <v>408</v>
      </c>
      <c r="D28" s="252">
        <v>0.91200000000000003</v>
      </c>
      <c r="E28" s="253">
        <v>198000</v>
      </c>
      <c r="F28" s="254">
        <f t="shared" si="1"/>
        <v>180576</v>
      </c>
      <c r="G28"/>
      <c r="I28" s="248"/>
      <c r="J28" s="248"/>
    </row>
    <row r="29" spans="1:20" s="240" customFormat="1" x14ac:dyDescent="0.25">
      <c r="A29" s="249" t="s">
        <v>665</v>
      </c>
      <c r="B29" s="256" t="s">
        <v>377</v>
      </c>
      <c r="C29" s="251" t="s">
        <v>408</v>
      </c>
      <c r="D29" s="252">
        <v>2.34</v>
      </c>
      <c r="E29" s="253">
        <v>49500</v>
      </c>
      <c r="F29" s="254">
        <f t="shared" si="1"/>
        <v>115830</v>
      </c>
      <c r="G29"/>
      <c r="I29" s="248"/>
      <c r="J29" s="248"/>
    </row>
    <row r="30" spans="1:20" s="240" customFormat="1" x14ac:dyDescent="0.25">
      <c r="A30" s="249" t="s">
        <v>666</v>
      </c>
      <c r="B30" s="256" t="s">
        <v>379</v>
      </c>
      <c r="C30" s="251" t="s">
        <v>408</v>
      </c>
      <c r="D30" s="252">
        <v>0.91200000000000003</v>
      </c>
      <c r="E30" s="253">
        <v>214500</v>
      </c>
      <c r="F30" s="254">
        <f t="shared" si="1"/>
        <v>195624</v>
      </c>
      <c r="G30"/>
      <c r="I30" s="248"/>
      <c r="J30" s="248"/>
    </row>
    <row r="31" spans="1:20" s="240" customFormat="1" x14ac:dyDescent="0.25">
      <c r="A31" s="249" t="s">
        <v>667</v>
      </c>
      <c r="B31" s="256" t="s">
        <v>381</v>
      </c>
      <c r="C31" s="251" t="s">
        <v>408</v>
      </c>
      <c r="D31" s="252">
        <v>0.6</v>
      </c>
      <c r="E31" s="253">
        <v>33000</v>
      </c>
      <c r="F31" s="254">
        <f t="shared" si="1"/>
        <v>19800</v>
      </c>
      <c r="G31"/>
      <c r="I31" s="248"/>
      <c r="J31" s="248"/>
    </row>
    <row r="32" spans="1:20" s="240" customFormat="1" x14ac:dyDescent="0.25">
      <c r="A32" s="249" t="s">
        <v>668</v>
      </c>
      <c r="B32" s="256" t="s">
        <v>383</v>
      </c>
      <c r="C32" s="251" t="s">
        <v>408</v>
      </c>
      <c r="D32" s="252">
        <v>0.3</v>
      </c>
      <c r="E32" s="253">
        <v>198000</v>
      </c>
      <c r="F32" s="254">
        <f t="shared" si="1"/>
        <v>59400</v>
      </c>
      <c r="G32"/>
      <c r="I32" s="248"/>
      <c r="J32" s="248"/>
    </row>
    <row r="33" spans="1:10" s="240" customFormat="1" x14ac:dyDescent="0.25">
      <c r="A33" s="249" t="s">
        <v>669</v>
      </c>
      <c r="B33" s="256" t="s">
        <v>385</v>
      </c>
      <c r="C33" s="251" t="s">
        <v>14</v>
      </c>
      <c r="D33" s="252">
        <v>1</v>
      </c>
      <c r="E33" s="253">
        <v>66000</v>
      </c>
      <c r="F33" s="254">
        <f t="shared" si="1"/>
        <v>66000</v>
      </c>
      <c r="G33"/>
      <c r="I33" s="248"/>
      <c r="J33" s="248"/>
    </row>
    <row r="34" spans="1:10" s="240" customFormat="1" x14ac:dyDescent="0.25">
      <c r="A34" s="249" t="s">
        <v>670</v>
      </c>
      <c r="B34" s="256" t="s">
        <v>387</v>
      </c>
      <c r="C34" s="251" t="s">
        <v>388</v>
      </c>
      <c r="D34" s="252">
        <v>2</v>
      </c>
      <c r="E34" s="253">
        <v>16500</v>
      </c>
      <c r="F34" s="254">
        <f t="shared" si="1"/>
        <v>33000</v>
      </c>
      <c r="G34"/>
      <c r="I34" s="248"/>
      <c r="J34" s="248"/>
    </row>
    <row r="35" spans="1:10" s="240" customFormat="1" x14ac:dyDescent="0.25">
      <c r="A35" s="205"/>
      <c r="B35" s="267"/>
      <c r="C35" s="268"/>
      <c r="D35" s="269"/>
      <c r="E35" s="270"/>
      <c r="F35" s="271"/>
      <c r="G35"/>
      <c r="I35" s="248"/>
      <c r="J35" s="248"/>
    </row>
    <row r="36" spans="1:10" s="240" customFormat="1" x14ac:dyDescent="0.25">
      <c r="A36" s="205"/>
      <c r="B36" s="272" t="s">
        <v>389</v>
      </c>
      <c r="C36" s="273"/>
      <c r="D36" s="274"/>
      <c r="E36" s="275"/>
      <c r="F36" s="276"/>
      <c r="G36"/>
      <c r="I36" s="248"/>
      <c r="J36" s="248"/>
    </row>
    <row r="37" spans="1:10" s="240" customFormat="1" ht="25.5" x14ac:dyDescent="0.25">
      <c r="A37" s="292" t="s">
        <v>671</v>
      </c>
      <c r="B37" s="277" t="s">
        <v>16</v>
      </c>
      <c r="C37" s="278" t="s">
        <v>408</v>
      </c>
      <c r="D37" s="279">
        <f xml:space="preserve"> (1+0.8)*(1+2.15)*1</f>
        <v>5.67</v>
      </c>
      <c r="E37" s="280">
        <v>2500</v>
      </c>
      <c r="F37" s="281">
        <f t="shared" ref="F37:F45" si="2">D37*E37</f>
        <v>14175</v>
      </c>
      <c r="G37"/>
      <c r="I37" s="241"/>
      <c r="J37" s="241"/>
    </row>
    <row r="38" spans="1:10" s="240" customFormat="1" ht="25.5" x14ac:dyDescent="0.25">
      <c r="A38" s="292" t="s">
        <v>672</v>
      </c>
      <c r="B38" s="277" t="s">
        <v>392</v>
      </c>
      <c r="C38" s="278" t="s">
        <v>408</v>
      </c>
      <c r="D38" s="279">
        <f>((1.2*2.35)-2*(0.2*1.55))*0.2</f>
        <v>0.43999999999999995</v>
      </c>
      <c r="E38" s="280">
        <v>30000</v>
      </c>
      <c r="F38" s="281">
        <f t="shared" si="2"/>
        <v>13199.999999999998</v>
      </c>
      <c r="G38"/>
      <c r="I38" s="241"/>
      <c r="J38" s="241"/>
    </row>
    <row r="39" spans="1:10" s="240" customFormat="1" x14ac:dyDescent="0.25">
      <c r="A39" s="292" t="s">
        <v>673</v>
      </c>
      <c r="B39" s="282" t="s">
        <v>18</v>
      </c>
      <c r="C39" s="278" t="s">
        <v>408</v>
      </c>
      <c r="D39" s="279">
        <f>D38/0.2*0.05</f>
        <v>0.10999999999999999</v>
      </c>
      <c r="E39" s="280">
        <v>75000</v>
      </c>
      <c r="F39" s="281">
        <f t="shared" si="2"/>
        <v>8249.9999999999982</v>
      </c>
      <c r="G39"/>
      <c r="I39" s="241"/>
      <c r="J39" s="241"/>
    </row>
    <row r="40" spans="1:10" s="240" customFormat="1" x14ac:dyDescent="0.25">
      <c r="A40" s="292" t="s">
        <v>674</v>
      </c>
      <c r="B40" s="277" t="s">
        <v>29</v>
      </c>
      <c r="C40" s="278" t="s">
        <v>408</v>
      </c>
      <c r="D40" s="279">
        <f>D39/0.05*0.1</f>
        <v>0.21999999999999997</v>
      </c>
      <c r="E40" s="280">
        <v>350000</v>
      </c>
      <c r="F40" s="281">
        <f t="shared" si="2"/>
        <v>76999.999999999985</v>
      </c>
      <c r="G40"/>
      <c r="I40" s="241"/>
      <c r="J40" s="241"/>
    </row>
    <row r="41" spans="1:10" s="240" customFormat="1" x14ac:dyDescent="0.25">
      <c r="A41" s="292" t="s">
        <v>675</v>
      </c>
      <c r="B41" s="277" t="s">
        <v>396</v>
      </c>
      <c r="C41" s="278" t="s">
        <v>408</v>
      </c>
      <c r="D41" s="279">
        <f xml:space="preserve"> 0.3*(((0.8+0.6)*0.2)-(0.2*0.2))+2*(1.55*2)*0.1*0.1</f>
        <v>0.13400000000000001</v>
      </c>
      <c r="E41" s="280">
        <v>70000</v>
      </c>
      <c r="F41" s="281">
        <f t="shared" si="2"/>
        <v>9380</v>
      </c>
      <c r="G41"/>
      <c r="I41" s="241"/>
      <c r="J41" s="241"/>
    </row>
    <row r="42" spans="1:10" s="240" customFormat="1" x14ac:dyDescent="0.25">
      <c r="A42" s="292" t="s">
        <v>676</v>
      </c>
      <c r="B42" s="277" t="s">
        <v>398</v>
      </c>
      <c r="C42" s="278" t="s">
        <v>447</v>
      </c>
      <c r="D42" s="279">
        <f>2*((0.8+0.6)-0.2)+((0.8+0.6)*2-0.2)+0.1*3</f>
        <v>5.3</v>
      </c>
      <c r="E42" s="280">
        <v>3800</v>
      </c>
      <c r="F42" s="281">
        <f t="shared" si="2"/>
        <v>20140</v>
      </c>
      <c r="G42"/>
      <c r="I42" s="241"/>
      <c r="J42" s="241"/>
    </row>
    <row r="43" spans="1:10" s="240" customFormat="1" x14ac:dyDescent="0.25">
      <c r="A43" s="292" t="s">
        <v>677</v>
      </c>
      <c r="B43" s="277" t="s">
        <v>449</v>
      </c>
      <c r="C43" s="278" t="s">
        <v>14</v>
      </c>
      <c r="D43" s="279">
        <v>1</v>
      </c>
      <c r="E43" s="280">
        <v>36000</v>
      </c>
      <c r="F43" s="281">
        <f t="shared" si="2"/>
        <v>36000</v>
      </c>
      <c r="G43"/>
      <c r="I43" s="241"/>
      <c r="J43" s="241"/>
    </row>
    <row r="44" spans="1:10" s="240" customFormat="1" ht="25.5" x14ac:dyDescent="0.25">
      <c r="A44" s="292" t="s">
        <v>678</v>
      </c>
      <c r="B44" s="283" t="s">
        <v>451</v>
      </c>
      <c r="C44" s="284" t="s">
        <v>11</v>
      </c>
      <c r="D44" s="285">
        <v>46</v>
      </c>
      <c r="E44" s="286">
        <v>81050</v>
      </c>
      <c r="F44" s="287">
        <f t="shared" si="2"/>
        <v>3728300</v>
      </c>
      <c r="G44"/>
      <c r="I44" s="241"/>
      <c r="J44" s="241"/>
    </row>
    <row r="45" spans="1:10" s="240" customFormat="1" ht="25.5" x14ac:dyDescent="0.25">
      <c r="A45" s="292" t="s">
        <v>679</v>
      </c>
      <c r="B45" s="288" t="s">
        <v>453</v>
      </c>
      <c r="C45" s="278" t="s">
        <v>14</v>
      </c>
      <c r="D45" s="289">
        <v>1</v>
      </c>
      <c r="E45" s="290">
        <f>(4*2)*65000</f>
        <v>520000</v>
      </c>
      <c r="F45" s="291">
        <f t="shared" si="2"/>
        <v>520000</v>
      </c>
      <c r="G45" s="378"/>
      <c r="I45" s="241"/>
      <c r="J45" s="241"/>
    </row>
    <row r="46" spans="1:10" s="240" customFormat="1" ht="12.75" x14ac:dyDescent="0.2">
      <c r="A46" s="292"/>
      <c r="B46" s="293" t="s">
        <v>680</v>
      </c>
      <c r="C46" s="294"/>
      <c r="D46" s="295"/>
      <c r="E46" s="296"/>
      <c r="F46" s="297">
        <f>SUM(F6:F45)</f>
        <v>48905748.480000004</v>
      </c>
      <c r="I46" s="241"/>
      <c r="J46" s="241"/>
    </row>
    <row r="47" spans="1:10" s="240" customFormat="1" ht="12" x14ac:dyDescent="0.2">
      <c r="A47" s="379"/>
      <c r="B47" s="380"/>
      <c r="C47" s="189"/>
      <c r="D47" s="190"/>
      <c r="E47" s="381"/>
      <c r="F47" s="382"/>
      <c r="I47" s="241"/>
      <c r="J47" s="241"/>
    </row>
    <row r="48" spans="1:10" s="240" customFormat="1" ht="12" x14ac:dyDescent="0.2">
      <c r="A48" s="242"/>
      <c r="B48" s="374"/>
      <c r="C48" s="375"/>
      <c r="D48" s="375"/>
      <c r="E48" s="375"/>
      <c r="F48" s="376"/>
      <c r="I48" s="241"/>
      <c r="J48" s="241"/>
    </row>
    <row r="49" spans="1:10" s="240" customFormat="1" ht="12" x14ac:dyDescent="0.2">
      <c r="A49" s="242" t="s">
        <v>66</v>
      </c>
      <c r="B49" s="900" t="s">
        <v>681</v>
      </c>
      <c r="C49" s="900"/>
      <c r="D49" s="900"/>
      <c r="E49" s="900"/>
      <c r="F49" s="901"/>
      <c r="I49" s="241"/>
      <c r="J49" s="241"/>
    </row>
    <row r="50" spans="1:10" s="240" customFormat="1" ht="12" x14ac:dyDescent="0.2">
      <c r="A50" s="383"/>
      <c r="B50" s="384"/>
      <c r="C50" s="385"/>
      <c r="D50" s="385"/>
      <c r="E50" s="385"/>
      <c r="F50" s="386"/>
      <c r="I50" s="241"/>
      <c r="J50" s="241"/>
    </row>
    <row r="51" spans="1:10" s="240" customFormat="1" ht="12" x14ac:dyDescent="0.2">
      <c r="A51" s="387" t="s">
        <v>102</v>
      </c>
      <c r="B51" s="388" t="s">
        <v>508</v>
      </c>
      <c r="C51" s="389"/>
      <c r="D51" s="390"/>
      <c r="E51" s="391"/>
      <c r="F51" s="392"/>
      <c r="I51" s="241"/>
      <c r="J51" s="241"/>
    </row>
    <row r="52" spans="1:10" s="240" customFormat="1" ht="13.5" x14ac:dyDescent="0.2">
      <c r="A52" s="233" t="s">
        <v>682</v>
      </c>
      <c r="B52" s="393" t="s">
        <v>16</v>
      </c>
      <c r="C52" s="394" t="s">
        <v>400</v>
      </c>
      <c r="D52" s="395">
        <f>(8*8*1.5)</f>
        <v>96</v>
      </c>
      <c r="E52" s="396">
        <v>2400</v>
      </c>
      <c r="F52" s="397">
        <f>D52*E52</f>
        <v>230400</v>
      </c>
      <c r="I52" s="241"/>
      <c r="J52" s="241"/>
    </row>
    <row r="53" spans="1:10" s="240" customFormat="1" ht="13.5" x14ac:dyDescent="0.2">
      <c r="A53" s="233" t="s">
        <v>683</v>
      </c>
      <c r="B53" s="393" t="s">
        <v>509</v>
      </c>
      <c r="C53" s="394" t="s">
        <v>400</v>
      </c>
      <c r="D53" s="395">
        <v>180</v>
      </c>
      <c r="E53" s="396">
        <v>70000</v>
      </c>
      <c r="F53" s="397">
        <f>D53*E53</f>
        <v>12600000</v>
      </c>
      <c r="I53" s="241"/>
      <c r="J53" s="241"/>
    </row>
    <row r="54" spans="1:10" s="240" customFormat="1" ht="13.5" x14ac:dyDescent="0.2">
      <c r="A54" s="233" t="s">
        <v>684</v>
      </c>
      <c r="B54" s="398" t="s">
        <v>510</v>
      </c>
      <c r="C54" s="231" t="s">
        <v>401</v>
      </c>
      <c r="D54" s="399">
        <f>(8*8)</f>
        <v>64</v>
      </c>
      <c r="E54" s="400">
        <v>4200</v>
      </c>
      <c r="F54" s="401">
        <f t="shared" ref="F54:F87" si="3">D54*E54</f>
        <v>268800</v>
      </c>
      <c r="I54" s="241"/>
      <c r="J54" s="241"/>
    </row>
    <row r="55" spans="1:10" s="240" customFormat="1" ht="13.5" x14ac:dyDescent="0.2">
      <c r="A55" s="233" t="s">
        <v>685</v>
      </c>
      <c r="B55" s="402" t="s">
        <v>18</v>
      </c>
      <c r="C55" s="231" t="s">
        <v>400</v>
      </c>
      <c r="D55" s="399">
        <f>(24*0.5*0.05)</f>
        <v>0.60000000000000009</v>
      </c>
      <c r="E55" s="400">
        <v>75000</v>
      </c>
      <c r="F55" s="401">
        <f t="shared" si="3"/>
        <v>45000.000000000007</v>
      </c>
      <c r="I55" s="241"/>
      <c r="J55" s="241"/>
    </row>
    <row r="56" spans="1:10" s="240" customFormat="1" ht="13.5" x14ac:dyDescent="0.2">
      <c r="A56" s="233" t="s">
        <v>686</v>
      </c>
      <c r="B56" s="398" t="s">
        <v>511</v>
      </c>
      <c r="C56" s="403" t="s">
        <v>400</v>
      </c>
      <c r="D56" s="399">
        <f>(24*1.5*0.1)+(4*0.3*0.1)</f>
        <v>3.72</v>
      </c>
      <c r="E56" s="400">
        <v>75000</v>
      </c>
      <c r="F56" s="401">
        <f t="shared" si="3"/>
        <v>279000</v>
      </c>
      <c r="I56" s="241"/>
      <c r="J56" s="241"/>
    </row>
    <row r="57" spans="1:10" s="240" customFormat="1" ht="13.5" x14ac:dyDescent="0.2">
      <c r="A57" s="233" t="s">
        <v>687</v>
      </c>
      <c r="B57" s="398" t="s">
        <v>512</v>
      </c>
      <c r="C57" s="231" t="s">
        <v>401</v>
      </c>
      <c r="D57" s="399">
        <f>(5.5*5.5)*0.1</f>
        <v>3.0250000000000004</v>
      </c>
      <c r="E57" s="400">
        <v>75000</v>
      </c>
      <c r="F57" s="401">
        <f t="shared" si="3"/>
        <v>226875.00000000003</v>
      </c>
      <c r="I57" s="241"/>
      <c r="J57" s="241"/>
    </row>
    <row r="58" spans="1:10" s="240" customFormat="1" ht="13.5" x14ac:dyDescent="0.2">
      <c r="A58" s="233" t="s">
        <v>688</v>
      </c>
      <c r="B58" s="404" t="s">
        <v>513</v>
      </c>
      <c r="C58" s="231" t="s">
        <v>400</v>
      </c>
      <c r="D58" s="399">
        <f>(24*0.2*0.2)+(0.2*0.2*6)</f>
        <v>1.2000000000000002</v>
      </c>
      <c r="E58" s="400">
        <v>350000</v>
      </c>
      <c r="F58" s="401">
        <f t="shared" si="3"/>
        <v>420000.00000000006</v>
      </c>
      <c r="I58" s="241"/>
      <c r="J58" s="241"/>
    </row>
    <row r="59" spans="1:10" s="240" customFormat="1" ht="13.5" x14ac:dyDescent="0.2">
      <c r="A59" s="233" t="s">
        <v>689</v>
      </c>
      <c r="B59" s="402" t="s">
        <v>514</v>
      </c>
      <c r="C59" s="231" t="s">
        <v>400</v>
      </c>
      <c r="D59" s="399">
        <f>24*0.4*1.5</f>
        <v>14.400000000000002</v>
      </c>
      <c r="E59" s="400">
        <v>70000</v>
      </c>
      <c r="F59" s="401">
        <f t="shared" si="3"/>
        <v>1008000.0000000001</v>
      </c>
      <c r="I59" s="241"/>
      <c r="J59" s="241"/>
    </row>
    <row r="60" spans="1:10" s="240" customFormat="1" ht="13.5" x14ac:dyDescent="0.2">
      <c r="A60" s="233" t="s">
        <v>690</v>
      </c>
      <c r="B60" s="398" t="s">
        <v>515</v>
      </c>
      <c r="C60" s="231" t="s">
        <v>400</v>
      </c>
      <c r="D60" s="399">
        <f>(3.9*24*0.2)</f>
        <v>18.72</v>
      </c>
      <c r="E60" s="400">
        <v>70000</v>
      </c>
      <c r="F60" s="401">
        <f t="shared" si="3"/>
        <v>1310400</v>
      </c>
      <c r="I60" s="241"/>
      <c r="J60" s="241"/>
    </row>
    <row r="61" spans="1:10" s="377" customFormat="1" ht="13.5" x14ac:dyDescent="0.2">
      <c r="A61" s="292" t="s">
        <v>691</v>
      </c>
      <c r="B61" s="405" t="s">
        <v>516</v>
      </c>
      <c r="C61" s="394" t="s">
        <v>400</v>
      </c>
      <c r="D61" s="395">
        <f>24*0.4</f>
        <v>9.6000000000000014</v>
      </c>
      <c r="E61" s="396">
        <v>5600</v>
      </c>
      <c r="F61" s="397">
        <f t="shared" si="3"/>
        <v>53760.000000000007</v>
      </c>
      <c r="G61" s="240"/>
      <c r="I61" s="406"/>
      <c r="J61" s="406"/>
    </row>
    <row r="62" spans="1:10" s="240" customFormat="1" ht="13.5" x14ac:dyDescent="0.2">
      <c r="A62" s="233" t="s">
        <v>692</v>
      </c>
      <c r="B62" s="398" t="s">
        <v>517</v>
      </c>
      <c r="C62" s="231" t="s">
        <v>400</v>
      </c>
      <c r="D62" s="399">
        <f>(2*0.85*0.4*3)</f>
        <v>2.04</v>
      </c>
      <c r="E62" s="400">
        <v>120000</v>
      </c>
      <c r="F62" s="401">
        <f t="shared" si="3"/>
        <v>244800</v>
      </c>
      <c r="I62" s="241"/>
      <c r="J62" s="241"/>
    </row>
    <row r="63" spans="1:10" s="240" customFormat="1" ht="12" x14ac:dyDescent="0.2">
      <c r="A63" s="233" t="s">
        <v>693</v>
      </c>
      <c r="B63" s="398" t="s">
        <v>518</v>
      </c>
      <c r="C63" s="232" t="s">
        <v>519</v>
      </c>
      <c r="D63" s="407">
        <f>3.08/0.04</f>
        <v>77</v>
      </c>
      <c r="E63" s="400">
        <v>1800</v>
      </c>
      <c r="F63" s="401">
        <f t="shared" si="3"/>
        <v>138600</v>
      </c>
      <c r="I63" s="241"/>
      <c r="J63" s="241"/>
    </row>
    <row r="64" spans="1:10" s="240" customFormat="1" ht="12" x14ac:dyDescent="0.2">
      <c r="A64" s="233" t="s">
        <v>694</v>
      </c>
      <c r="B64" s="402" t="s">
        <v>520</v>
      </c>
      <c r="C64" s="231" t="s">
        <v>11</v>
      </c>
      <c r="D64" s="399">
        <f>24*0.4</f>
        <v>9.6000000000000014</v>
      </c>
      <c r="E64" s="400">
        <v>2800</v>
      </c>
      <c r="F64" s="401">
        <f t="shared" si="3"/>
        <v>26880.000000000004</v>
      </c>
      <c r="I64" s="241"/>
      <c r="J64" s="241"/>
    </row>
    <row r="65" spans="1:10" s="240" customFormat="1" ht="25.5" customHeight="1" x14ac:dyDescent="0.2">
      <c r="A65" s="233" t="s">
        <v>695</v>
      </c>
      <c r="B65" s="240" t="s">
        <v>696</v>
      </c>
      <c r="C65" s="403" t="s">
        <v>401</v>
      </c>
      <c r="D65" s="408">
        <f>(3.9*24)+(24*0.4)</f>
        <v>103.19999999999999</v>
      </c>
      <c r="E65" s="409">
        <v>6200</v>
      </c>
      <c r="F65" s="401">
        <f t="shared" si="3"/>
        <v>639839.99999999988</v>
      </c>
      <c r="I65" s="241"/>
      <c r="J65" s="241"/>
    </row>
    <row r="66" spans="1:10" s="240" customFormat="1" ht="13.5" x14ac:dyDescent="0.2">
      <c r="A66" s="233" t="s">
        <v>697</v>
      </c>
      <c r="B66" s="398" t="s">
        <v>521</v>
      </c>
      <c r="C66" s="231" t="s">
        <v>401</v>
      </c>
      <c r="D66" s="399">
        <f>24*3.9</f>
        <v>93.6</v>
      </c>
      <c r="E66" s="400">
        <v>4500</v>
      </c>
      <c r="F66" s="401">
        <f t="shared" si="3"/>
        <v>421200</v>
      </c>
      <c r="I66" s="241"/>
      <c r="J66" s="241"/>
    </row>
    <row r="67" spans="1:10" s="240" customFormat="1" ht="13.5" x14ac:dyDescent="0.2">
      <c r="A67" s="233" t="s">
        <v>698</v>
      </c>
      <c r="B67" s="398" t="s">
        <v>522</v>
      </c>
      <c r="C67" s="231" t="s">
        <v>401</v>
      </c>
      <c r="D67" s="399">
        <f>103.2+(1.8*2.2*2)</f>
        <v>111.12</v>
      </c>
      <c r="E67" s="400">
        <v>2500</v>
      </c>
      <c r="F67" s="401">
        <f t="shared" si="3"/>
        <v>277800</v>
      </c>
      <c r="I67" s="241"/>
      <c r="J67" s="241"/>
    </row>
    <row r="68" spans="1:10" s="240" customFormat="1" ht="12" x14ac:dyDescent="0.2">
      <c r="A68" s="233" t="s">
        <v>699</v>
      </c>
      <c r="B68" s="398" t="s">
        <v>523</v>
      </c>
      <c r="C68" s="231" t="s">
        <v>11</v>
      </c>
      <c r="D68" s="399">
        <f>6.9*3</f>
        <v>20.700000000000003</v>
      </c>
      <c r="E68" s="400">
        <v>9200</v>
      </c>
      <c r="F68" s="401">
        <f t="shared" si="3"/>
        <v>190440.00000000003</v>
      </c>
      <c r="G68" s="410"/>
      <c r="H68" s="411"/>
      <c r="I68" s="241"/>
      <c r="J68" s="241"/>
    </row>
    <row r="69" spans="1:10" s="240" customFormat="1" ht="12" x14ac:dyDescent="0.2">
      <c r="A69" s="233" t="s">
        <v>700</v>
      </c>
      <c r="B69" s="398" t="s">
        <v>524</v>
      </c>
      <c r="C69" s="231" t="s">
        <v>11</v>
      </c>
      <c r="D69" s="399">
        <f>6.5*5</f>
        <v>32.5</v>
      </c>
      <c r="E69" s="400">
        <v>6400</v>
      </c>
      <c r="F69" s="401">
        <f t="shared" si="3"/>
        <v>208000</v>
      </c>
      <c r="I69" s="241"/>
      <c r="J69" s="241"/>
    </row>
    <row r="70" spans="1:10" s="240" customFormat="1" ht="12" x14ac:dyDescent="0.2">
      <c r="A70" s="233" t="s">
        <v>701</v>
      </c>
      <c r="B70" s="398" t="s">
        <v>525</v>
      </c>
      <c r="C70" s="231" t="s">
        <v>11</v>
      </c>
      <c r="D70" s="399">
        <f>5.7</f>
        <v>5.7</v>
      </c>
      <c r="E70" s="400">
        <v>145000</v>
      </c>
      <c r="F70" s="401">
        <f t="shared" si="3"/>
        <v>826500</v>
      </c>
      <c r="I70" s="241"/>
      <c r="J70" s="241"/>
    </row>
    <row r="71" spans="1:10" s="412" customFormat="1" ht="12.75" x14ac:dyDescent="0.2">
      <c r="A71" s="233" t="s">
        <v>702</v>
      </c>
      <c r="B71" s="398" t="s">
        <v>703</v>
      </c>
      <c r="C71" s="232" t="s">
        <v>519</v>
      </c>
      <c r="D71" s="399">
        <v>1</v>
      </c>
      <c r="E71" s="400">
        <v>13650000</v>
      </c>
      <c r="F71" s="401">
        <f t="shared" si="3"/>
        <v>13650000</v>
      </c>
      <c r="I71" s="413"/>
      <c r="J71" s="413"/>
    </row>
    <row r="72" spans="1:10" s="240" customFormat="1" ht="13.5" x14ac:dyDescent="0.2">
      <c r="A72" s="233" t="s">
        <v>704</v>
      </c>
      <c r="B72" s="414" t="s">
        <v>526</v>
      </c>
      <c r="C72" s="231" t="s">
        <v>401</v>
      </c>
      <c r="D72" s="399">
        <f>6.5*6.8</f>
        <v>44.199999999999996</v>
      </c>
      <c r="E72" s="400">
        <v>15000</v>
      </c>
      <c r="F72" s="401">
        <f t="shared" si="3"/>
        <v>662999.99999999988</v>
      </c>
      <c r="I72" s="241"/>
      <c r="J72" s="241"/>
    </row>
    <row r="73" spans="1:10" s="240" customFormat="1" ht="12" x14ac:dyDescent="0.2">
      <c r="A73" s="233" t="s">
        <v>705</v>
      </c>
      <c r="B73" s="398" t="s">
        <v>527</v>
      </c>
      <c r="C73" s="231" t="s">
        <v>11</v>
      </c>
      <c r="D73" s="399">
        <v>6.5</v>
      </c>
      <c r="E73" s="400">
        <v>8500</v>
      </c>
      <c r="F73" s="401">
        <f t="shared" si="3"/>
        <v>55250</v>
      </c>
      <c r="I73" s="241"/>
      <c r="J73" s="241"/>
    </row>
    <row r="74" spans="1:10" s="240" customFormat="1" ht="12" x14ac:dyDescent="0.2">
      <c r="A74" s="233" t="s">
        <v>706</v>
      </c>
      <c r="B74" s="398" t="s">
        <v>528</v>
      </c>
      <c r="C74" s="231" t="s">
        <v>11</v>
      </c>
      <c r="D74" s="399">
        <f>6.5*4</f>
        <v>26</v>
      </c>
      <c r="E74" s="400">
        <v>5500</v>
      </c>
      <c r="F74" s="401">
        <f>D74*E74</f>
        <v>143000</v>
      </c>
      <c r="I74" s="241"/>
      <c r="J74" s="241"/>
    </row>
    <row r="75" spans="1:10" s="240" customFormat="1" ht="24" x14ac:dyDescent="0.2">
      <c r="A75" s="233" t="s">
        <v>707</v>
      </c>
      <c r="B75" s="415" t="s">
        <v>529</v>
      </c>
      <c r="C75" s="231" t="s">
        <v>11</v>
      </c>
      <c r="D75" s="399">
        <f>2.9*6</f>
        <v>17.399999999999999</v>
      </c>
      <c r="E75" s="400">
        <v>9400</v>
      </c>
      <c r="F75" s="401">
        <f t="shared" si="3"/>
        <v>163560</v>
      </c>
      <c r="I75" s="241"/>
      <c r="J75" s="241"/>
    </row>
    <row r="76" spans="1:10" s="240" customFormat="1" ht="12" x14ac:dyDescent="0.2">
      <c r="A76" s="233" t="s">
        <v>708</v>
      </c>
      <c r="B76" s="398" t="s">
        <v>530</v>
      </c>
      <c r="C76" s="403" t="s">
        <v>519</v>
      </c>
      <c r="D76" s="399">
        <f>1</f>
        <v>1</v>
      </c>
      <c r="E76" s="400">
        <f>(2.8*2.1)*65000</f>
        <v>382200</v>
      </c>
      <c r="F76" s="401">
        <f t="shared" si="3"/>
        <v>382200</v>
      </c>
      <c r="I76" s="241"/>
      <c r="J76" s="241"/>
    </row>
    <row r="77" spans="1:10" s="240" customFormat="1" ht="13.5" x14ac:dyDescent="0.2">
      <c r="A77" s="233" t="s">
        <v>709</v>
      </c>
      <c r="B77" s="398" t="s">
        <v>531</v>
      </c>
      <c r="C77" s="231" t="s">
        <v>400</v>
      </c>
      <c r="D77" s="399">
        <f>7.5*0.4*0.1</f>
        <v>0.30000000000000004</v>
      </c>
      <c r="E77" s="400">
        <v>350000</v>
      </c>
      <c r="F77" s="401">
        <f t="shared" si="3"/>
        <v>105000.00000000001</v>
      </c>
      <c r="I77" s="241"/>
      <c r="J77" s="241"/>
    </row>
    <row r="78" spans="1:10" s="240" customFormat="1" ht="24" x14ac:dyDescent="0.2">
      <c r="A78" s="233" t="s">
        <v>710</v>
      </c>
      <c r="B78" s="416" t="s">
        <v>532</v>
      </c>
      <c r="C78" s="231" t="s">
        <v>14</v>
      </c>
      <c r="D78" s="417">
        <v>1</v>
      </c>
      <c r="E78" s="418">
        <v>586000</v>
      </c>
      <c r="F78" s="419">
        <f t="shared" si="3"/>
        <v>586000</v>
      </c>
      <c r="I78" s="241"/>
      <c r="J78" s="241"/>
    </row>
    <row r="79" spans="1:10" s="240" customFormat="1" ht="12" x14ac:dyDescent="0.2">
      <c r="A79" s="233" t="s">
        <v>711</v>
      </c>
      <c r="B79" s="398" t="s">
        <v>533</v>
      </c>
      <c r="C79" s="403" t="s">
        <v>519</v>
      </c>
      <c r="D79" s="420">
        <v>1</v>
      </c>
      <c r="E79" s="400">
        <v>165000</v>
      </c>
      <c r="F79" s="401">
        <f t="shared" si="3"/>
        <v>165000</v>
      </c>
      <c r="I79" s="241"/>
      <c r="J79" s="241"/>
    </row>
    <row r="80" spans="1:10" s="240" customFormat="1" ht="12" x14ac:dyDescent="0.2">
      <c r="A80" s="233" t="s">
        <v>712</v>
      </c>
      <c r="B80" s="398" t="s">
        <v>534</v>
      </c>
      <c r="C80" s="403" t="s">
        <v>519</v>
      </c>
      <c r="D80" s="420">
        <v>1</v>
      </c>
      <c r="E80" s="400">
        <v>2500000</v>
      </c>
      <c r="F80" s="421">
        <f>D80*E80</f>
        <v>2500000</v>
      </c>
      <c r="I80" s="241"/>
      <c r="J80" s="241"/>
    </row>
    <row r="81" spans="1:13" s="377" customFormat="1" ht="48" x14ac:dyDescent="0.2">
      <c r="A81" s="292" t="s">
        <v>713</v>
      </c>
      <c r="B81" s="405" t="s">
        <v>714</v>
      </c>
      <c r="C81" s="422" t="s">
        <v>519</v>
      </c>
      <c r="D81" s="423">
        <v>2</v>
      </c>
      <c r="E81" s="424">
        <v>60000000</v>
      </c>
      <c r="F81" s="425">
        <f>D81*E81</f>
        <v>120000000</v>
      </c>
      <c r="G81" s="240"/>
      <c r="H81" s="240"/>
      <c r="I81" s="248"/>
      <c r="J81" s="248"/>
      <c r="K81" s="240"/>
      <c r="L81" s="240"/>
      <c r="M81" s="240"/>
    </row>
    <row r="82" spans="1:13" s="240" customFormat="1" ht="12" x14ac:dyDescent="0.2">
      <c r="A82" s="292" t="s">
        <v>715</v>
      </c>
      <c r="B82" s="405" t="s">
        <v>716</v>
      </c>
      <c r="C82" s="426" t="s">
        <v>519</v>
      </c>
      <c r="D82" s="427">
        <v>1</v>
      </c>
      <c r="E82" s="428">
        <v>6000000</v>
      </c>
      <c r="F82" s="401">
        <f t="shared" si="3"/>
        <v>6000000</v>
      </c>
      <c r="I82" s="241"/>
      <c r="J82" s="241"/>
    </row>
    <row r="83" spans="1:13" s="240" customFormat="1" ht="13.5" x14ac:dyDescent="0.2">
      <c r="A83" s="233" t="s">
        <v>717</v>
      </c>
      <c r="B83" s="429" t="s">
        <v>535</v>
      </c>
      <c r="C83" s="231" t="s">
        <v>400</v>
      </c>
      <c r="D83" s="430">
        <f>(0.2*0.4*0.5)*30</f>
        <v>1.2000000000000002</v>
      </c>
      <c r="E83" s="400">
        <v>120000</v>
      </c>
      <c r="F83" s="401">
        <f t="shared" si="3"/>
        <v>144000.00000000003</v>
      </c>
      <c r="I83" s="241"/>
      <c r="J83" s="241"/>
    </row>
    <row r="84" spans="1:13" s="240" customFormat="1" ht="24" x14ac:dyDescent="0.2">
      <c r="A84" s="292" t="s">
        <v>718</v>
      </c>
      <c r="B84" s="416" t="s">
        <v>451</v>
      </c>
      <c r="C84" s="231" t="s">
        <v>11</v>
      </c>
      <c r="D84" s="420">
        <f>30+30+30+30</f>
        <v>120</v>
      </c>
      <c r="E84" s="400">
        <v>81050</v>
      </c>
      <c r="F84" s="421">
        <f t="shared" si="3"/>
        <v>9726000</v>
      </c>
      <c r="I84" s="241"/>
      <c r="J84" s="241"/>
    </row>
    <row r="85" spans="1:13" s="377" customFormat="1" ht="24" x14ac:dyDescent="0.2">
      <c r="A85" s="233" t="s">
        <v>719</v>
      </c>
      <c r="B85" s="431" t="s">
        <v>453</v>
      </c>
      <c r="C85" s="231" t="s">
        <v>14</v>
      </c>
      <c r="D85" s="420">
        <v>1</v>
      </c>
      <c r="E85" s="400">
        <f>(4*2)*65000</f>
        <v>520000</v>
      </c>
      <c r="F85" s="421">
        <f t="shared" si="3"/>
        <v>520000</v>
      </c>
      <c r="G85" s="240"/>
      <c r="I85" s="406"/>
      <c r="J85" s="406"/>
    </row>
    <row r="86" spans="1:13" s="240" customFormat="1" ht="24" x14ac:dyDescent="0.2">
      <c r="A86" s="292" t="s">
        <v>720</v>
      </c>
      <c r="B86" s="431" t="s">
        <v>536</v>
      </c>
      <c r="C86" s="231" t="s">
        <v>11</v>
      </c>
      <c r="D86" s="420">
        <v>23</v>
      </c>
      <c r="E86" s="400">
        <v>138800</v>
      </c>
      <c r="F86" s="421">
        <f t="shared" si="3"/>
        <v>3192400</v>
      </c>
      <c r="I86" s="241"/>
      <c r="J86" s="241"/>
    </row>
    <row r="87" spans="1:13" s="377" customFormat="1" ht="13.5" x14ac:dyDescent="0.2">
      <c r="A87" s="233" t="s">
        <v>721</v>
      </c>
      <c r="B87" s="429" t="s">
        <v>537</v>
      </c>
      <c r="C87" s="231" t="s">
        <v>401</v>
      </c>
      <c r="D87" s="430">
        <f>30*30</f>
        <v>900</v>
      </c>
      <c r="E87" s="400">
        <v>1000</v>
      </c>
      <c r="F87" s="401">
        <f t="shared" si="3"/>
        <v>900000</v>
      </c>
      <c r="G87" s="432"/>
      <c r="I87" s="433"/>
      <c r="J87" s="433"/>
    </row>
    <row r="88" spans="1:13" s="240" customFormat="1" ht="12" x14ac:dyDescent="0.2">
      <c r="A88" s="434"/>
      <c r="B88" s="435" t="s">
        <v>538</v>
      </c>
      <c r="C88" s="436"/>
      <c r="D88" s="437"/>
      <c r="E88" s="438"/>
      <c r="F88" s="439">
        <f>SUM(F52:F87)</f>
        <v>178311705</v>
      </c>
      <c r="G88" s="432"/>
      <c r="I88" s="241"/>
      <c r="J88" s="241"/>
    </row>
    <row r="89" spans="1:13" s="240" customFormat="1" ht="12" x14ac:dyDescent="0.2">
      <c r="A89" s="188"/>
      <c r="B89" s="440"/>
      <c r="C89" s="189"/>
      <c r="D89" s="441"/>
      <c r="E89" s="191"/>
      <c r="F89" s="442"/>
      <c r="I89" s="241"/>
      <c r="J89" s="241"/>
    </row>
    <row r="90" spans="1:13" s="240" customFormat="1" ht="12" x14ac:dyDescent="0.2">
      <c r="A90" s="443" t="s">
        <v>103</v>
      </c>
      <c r="B90" s="902" t="s">
        <v>539</v>
      </c>
      <c r="C90" s="903"/>
      <c r="D90" s="903"/>
      <c r="E90" s="903"/>
      <c r="F90" s="904"/>
      <c r="I90" s="241"/>
      <c r="J90" s="241"/>
    </row>
    <row r="91" spans="1:13" s="240" customFormat="1" ht="12" x14ac:dyDescent="0.2">
      <c r="A91" s="233" t="s">
        <v>722</v>
      </c>
      <c r="B91" s="444" t="s">
        <v>540</v>
      </c>
      <c r="C91" s="403" t="s">
        <v>193</v>
      </c>
      <c r="D91" s="420">
        <v>1</v>
      </c>
      <c r="E91" s="445">
        <v>22300000</v>
      </c>
      <c r="F91" s="446">
        <f>D91*E91</f>
        <v>22300000</v>
      </c>
      <c r="I91" s="241"/>
      <c r="J91" s="241"/>
    </row>
    <row r="92" spans="1:13" s="240" customFormat="1" ht="12" x14ac:dyDescent="0.2">
      <c r="A92" s="188"/>
      <c r="B92" s="447"/>
      <c r="C92" s="448"/>
      <c r="D92" s="449"/>
      <c r="E92" s="400"/>
      <c r="F92" s="450"/>
      <c r="I92" s="241"/>
      <c r="J92" s="241"/>
    </row>
    <row r="93" spans="1:13" s="240" customFormat="1" ht="12" x14ac:dyDescent="0.2">
      <c r="A93" s="451"/>
      <c r="B93" s="452" t="s">
        <v>30</v>
      </c>
      <c r="C93" s="453"/>
      <c r="D93" s="454"/>
      <c r="E93" s="455"/>
      <c r="F93" s="456">
        <f>SUM(F91)</f>
        <v>22300000</v>
      </c>
      <c r="I93" s="241"/>
      <c r="J93" s="241"/>
    </row>
    <row r="94" spans="1:13" s="240" customFormat="1" ht="12" x14ac:dyDescent="0.2">
      <c r="A94" s="451"/>
      <c r="B94" s="388" t="s">
        <v>723</v>
      </c>
      <c r="C94" s="389"/>
      <c r="D94" s="457"/>
      <c r="E94" s="458"/>
      <c r="F94" s="459">
        <f>F93+F88</f>
        <v>200611705</v>
      </c>
      <c r="I94" s="241"/>
      <c r="J94" s="241"/>
    </row>
    <row r="95" spans="1:13" s="240" customFormat="1" ht="12" x14ac:dyDescent="0.2">
      <c r="A95" s="188"/>
      <c r="B95" s="460"/>
      <c r="C95" s="189"/>
      <c r="D95" s="190"/>
      <c r="E95" s="381"/>
      <c r="F95" s="461"/>
      <c r="I95" s="241"/>
      <c r="J95" s="241"/>
    </row>
    <row r="96" spans="1:13" s="240" customFormat="1" ht="12" x14ac:dyDescent="0.2">
      <c r="A96" s="188"/>
      <c r="B96" s="462"/>
      <c r="C96" s="189"/>
      <c r="D96" s="190"/>
      <c r="E96" s="191"/>
      <c r="F96" s="463"/>
      <c r="I96" s="241"/>
      <c r="J96" s="241"/>
    </row>
    <row r="97" spans="1:10" s="240" customFormat="1" ht="12" x14ac:dyDescent="0.2">
      <c r="A97" s="464" t="s">
        <v>104</v>
      </c>
      <c r="B97" s="388" t="s">
        <v>541</v>
      </c>
      <c r="C97" s="389"/>
      <c r="D97" s="457"/>
      <c r="E97" s="465"/>
      <c r="F97" s="466"/>
      <c r="I97" s="241"/>
      <c r="J97" s="241"/>
    </row>
    <row r="98" spans="1:10" s="240" customFormat="1" ht="12" x14ac:dyDescent="0.2">
      <c r="A98" s="188"/>
      <c r="B98" s="462"/>
      <c r="C98" s="189"/>
      <c r="D98" s="190"/>
      <c r="E98" s="191"/>
      <c r="F98" s="463"/>
      <c r="I98" s="241"/>
      <c r="J98" s="241"/>
    </row>
    <row r="99" spans="1:10" s="240" customFormat="1" ht="13.5" x14ac:dyDescent="0.2">
      <c r="A99" s="233" t="s">
        <v>105</v>
      </c>
      <c r="B99" s="467" t="s">
        <v>542</v>
      </c>
      <c r="C99" s="468" t="s">
        <v>400</v>
      </c>
      <c r="D99" s="427">
        <f>6*6*0.3</f>
        <v>10.799999999999999</v>
      </c>
      <c r="E99" s="469">
        <v>2400</v>
      </c>
      <c r="F99" s="397">
        <f t="shared" ref="F99:F120" si="4">D99*E99</f>
        <v>25919.999999999996</v>
      </c>
      <c r="I99" s="241"/>
      <c r="J99" s="241"/>
    </row>
    <row r="100" spans="1:10" s="240" customFormat="1" ht="13.5" x14ac:dyDescent="0.2">
      <c r="A100" s="233" t="s">
        <v>106</v>
      </c>
      <c r="B100" s="467" t="s">
        <v>543</v>
      </c>
      <c r="C100" s="468" t="s">
        <v>400</v>
      </c>
      <c r="D100" s="427">
        <f>6*6*0.8</f>
        <v>28.8</v>
      </c>
      <c r="E100" s="469">
        <v>2500</v>
      </c>
      <c r="F100" s="397">
        <f t="shared" si="4"/>
        <v>72000</v>
      </c>
      <c r="I100" s="241"/>
      <c r="J100" s="241"/>
    </row>
    <row r="101" spans="1:10" s="240" customFormat="1" ht="13.5" x14ac:dyDescent="0.2">
      <c r="A101" s="233" t="s">
        <v>107</v>
      </c>
      <c r="B101" s="467" t="s">
        <v>544</v>
      </c>
      <c r="C101" s="468" t="s">
        <v>400</v>
      </c>
      <c r="D101" s="427">
        <f>(3+3+3+3)*0.4*0.9</f>
        <v>4.3200000000000012</v>
      </c>
      <c r="E101" s="469">
        <v>2500</v>
      </c>
      <c r="F101" s="397">
        <f t="shared" si="4"/>
        <v>10800.000000000004</v>
      </c>
      <c r="I101" s="241"/>
      <c r="J101" s="241"/>
    </row>
    <row r="102" spans="1:10" s="240" customFormat="1" ht="13.5" x14ac:dyDescent="0.2">
      <c r="A102" s="233" t="s">
        <v>108</v>
      </c>
      <c r="B102" s="414" t="s">
        <v>545</v>
      </c>
      <c r="C102" s="403" t="s">
        <v>400</v>
      </c>
      <c r="D102" s="420">
        <f>(3+3+3+3)*0.6*0.05</f>
        <v>0.36</v>
      </c>
      <c r="E102" s="445">
        <v>75000</v>
      </c>
      <c r="F102" s="401">
        <f t="shared" si="4"/>
        <v>27000</v>
      </c>
      <c r="I102" s="241"/>
      <c r="J102" s="241"/>
    </row>
    <row r="103" spans="1:10" s="240" customFormat="1" ht="13.5" x14ac:dyDescent="0.2">
      <c r="A103" s="233" t="s">
        <v>109</v>
      </c>
      <c r="B103" s="414" t="s">
        <v>546</v>
      </c>
      <c r="C103" s="403" t="s">
        <v>400</v>
      </c>
      <c r="D103" s="420">
        <f>(3+3+3+3)*0.4*1.1</f>
        <v>5.2800000000000011</v>
      </c>
      <c r="E103" s="445">
        <v>70000</v>
      </c>
      <c r="F103" s="401">
        <f t="shared" si="4"/>
        <v>369600.00000000006</v>
      </c>
      <c r="I103" s="241"/>
      <c r="J103" s="241"/>
    </row>
    <row r="104" spans="1:10" s="240" customFormat="1" ht="12" x14ac:dyDescent="0.2">
      <c r="A104" s="233" t="s">
        <v>110</v>
      </c>
      <c r="B104" s="414" t="s">
        <v>547</v>
      </c>
      <c r="C104" s="403" t="s">
        <v>548</v>
      </c>
      <c r="D104" s="420">
        <f>(3+3+3+3)*0.4</f>
        <v>4.8000000000000007</v>
      </c>
      <c r="E104" s="445">
        <v>5600</v>
      </c>
      <c r="F104" s="401">
        <f t="shared" si="4"/>
        <v>26880.000000000004</v>
      </c>
      <c r="I104" s="241"/>
      <c r="J104" s="241"/>
    </row>
    <row r="105" spans="1:10" s="240" customFormat="1" ht="12" x14ac:dyDescent="0.2">
      <c r="A105" s="233" t="s">
        <v>111</v>
      </c>
      <c r="B105" s="414" t="s">
        <v>549</v>
      </c>
      <c r="C105" s="403" t="s">
        <v>548</v>
      </c>
      <c r="D105" s="420">
        <f>(3+3+3+3)*0.4</f>
        <v>4.8000000000000007</v>
      </c>
      <c r="E105" s="445">
        <v>4500</v>
      </c>
      <c r="F105" s="401">
        <f t="shared" si="4"/>
        <v>21600.000000000004</v>
      </c>
      <c r="I105" s="241"/>
      <c r="J105" s="241"/>
    </row>
    <row r="106" spans="1:10" s="240" customFormat="1" ht="13.5" x14ac:dyDescent="0.2">
      <c r="A106" s="233" t="s">
        <v>112</v>
      </c>
      <c r="B106" s="414" t="s">
        <v>550</v>
      </c>
      <c r="C106" s="403" t="s">
        <v>400</v>
      </c>
      <c r="D106" s="420">
        <f>(12*3.2*0.2)-(1*1.2*0.2)-(2.1*1*0.2)</f>
        <v>7.0200000000000014</v>
      </c>
      <c r="E106" s="445">
        <v>70000</v>
      </c>
      <c r="F106" s="401">
        <f t="shared" si="4"/>
        <v>491400.00000000012</v>
      </c>
      <c r="I106" s="241"/>
      <c r="J106" s="241"/>
    </row>
    <row r="107" spans="1:10" s="240" customFormat="1" ht="13.5" x14ac:dyDescent="0.2">
      <c r="A107" s="233" t="s">
        <v>113</v>
      </c>
      <c r="B107" s="414" t="s">
        <v>551</v>
      </c>
      <c r="C107" s="403" t="s">
        <v>400</v>
      </c>
      <c r="D107" s="420">
        <f>12*0.2*0.2</f>
        <v>0.48000000000000009</v>
      </c>
      <c r="E107" s="445">
        <v>350000</v>
      </c>
      <c r="F107" s="401">
        <f t="shared" si="4"/>
        <v>168000.00000000003</v>
      </c>
      <c r="I107" s="241"/>
      <c r="J107" s="241"/>
    </row>
    <row r="108" spans="1:10" s="240" customFormat="1" ht="12" x14ac:dyDescent="0.2">
      <c r="A108" s="233" t="s">
        <v>114</v>
      </c>
      <c r="B108" s="402" t="s">
        <v>552</v>
      </c>
      <c r="C108" s="231" t="s">
        <v>14</v>
      </c>
      <c r="D108" s="420">
        <v>6</v>
      </c>
      <c r="E108" s="445">
        <v>1800</v>
      </c>
      <c r="F108" s="401">
        <f t="shared" si="4"/>
        <v>10800</v>
      </c>
      <c r="I108" s="241"/>
      <c r="J108" s="241"/>
    </row>
    <row r="109" spans="1:10" s="240" customFormat="1" ht="12" x14ac:dyDescent="0.2">
      <c r="A109" s="233" t="s">
        <v>115</v>
      </c>
      <c r="B109" s="414" t="s">
        <v>553</v>
      </c>
      <c r="C109" s="231" t="s">
        <v>11</v>
      </c>
      <c r="D109" s="420">
        <f>(3.8*7)</f>
        <v>26.599999999999998</v>
      </c>
      <c r="E109" s="445">
        <v>3500</v>
      </c>
      <c r="F109" s="401">
        <f t="shared" si="4"/>
        <v>93099.999999999985</v>
      </c>
      <c r="I109" s="241"/>
      <c r="J109" s="241"/>
    </row>
    <row r="110" spans="1:10" s="240" customFormat="1" ht="12" x14ac:dyDescent="0.2">
      <c r="A110" s="233" t="s">
        <v>116</v>
      </c>
      <c r="B110" s="414" t="s">
        <v>526</v>
      </c>
      <c r="C110" s="403" t="s">
        <v>548</v>
      </c>
      <c r="D110" s="420">
        <f>3.8*3.8</f>
        <v>14.44</v>
      </c>
      <c r="E110" s="445">
        <v>15000</v>
      </c>
      <c r="F110" s="401">
        <f t="shared" si="4"/>
        <v>216600</v>
      </c>
      <c r="I110" s="241"/>
      <c r="J110" s="241"/>
    </row>
    <row r="111" spans="1:10" s="240" customFormat="1" ht="12" x14ac:dyDescent="0.2">
      <c r="A111" s="233" t="s">
        <v>117</v>
      </c>
      <c r="B111" s="414" t="s">
        <v>554</v>
      </c>
      <c r="C111" s="231" t="s">
        <v>11</v>
      </c>
      <c r="D111" s="420">
        <f>3.8*4</f>
        <v>15.2</v>
      </c>
      <c r="E111" s="445">
        <v>2700</v>
      </c>
      <c r="F111" s="401">
        <f t="shared" si="4"/>
        <v>41040</v>
      </c>
      <c r="I111" s="241"/>
      <c r="J111" s="241"/>
    </row>
    <row r="112" spans="1:10" s="240" customFormat="1" ht="12" x14ac:dyDescent="0.2">
      <c r="A112" s="233" t="s">
        <v>132</v>
      </c>
      <c r="B112" s="414" t="s">
        <v>555</v>
      </c>
      <c r="C112" s="231" t="s">
        <v>14</v>
      </c>
      <c r="D112" s="420">
        <v>1</v>
      </c>
      <c r="E112" s="445">
        <f>(0.9*2.1*70000)*1</f>
        <v>132300</v>
      </c>
      <c r="F112" s="401">
        <f t="shared" si="4"/>
        <v>132300</v>
      </c>
      <c r="I112" s="241"/>
      <c r="J112" s="241"/>
    </row>
    <row r="113" spans="1:10" s="240" customFormat="1" ht="12" x14ac:dyDescent="0.2">
      <c r="A113" s="233" t="s">
        <v>503</v>
      </c>
      <c r="B113" s="414" t="s">
        <v>556</v>
      </c>
      <c r="C113" s="231" t="s">
        <v>14</v>
      </c>
      <c r="D113" s="420">
        <v>1</v>
      </c>
      <c r="E113" s="445">
        <f>(1*1.2*70000)*1</f>
        <v>84000</v>
      </c>
      <c r="F113" s="401">
        <f t="shared" si="4"/>
        <v>84000</v>
      </c>
      <c r="I113" s="241"/>
      <c r="J113" s="241"/>
    </row>
    <row r="114" spans="1:10" s="240" customFormat="1" ht="12" x14ac:dyDescent="0.2">
      <c r="A114" s="233" t="s">
        <v>724</v>
      </c>
      <c r="B114" s="414" t="s">
        <v>557</v>
      </c>
      <c r="C114" s="403" t="s">
        <v>548</v>
      </c>
      <c r="D114" s="420">
        <f>(12+5.5)*0.15</f>
        <v>2.625</v>
      </c>
      <c r="E114" s="445">
        <v>4500</v>
      </c>
      <c r="F114" s="401">
        <f t="shared" si="4"/>
        <v>11812.5</v>
      </c>
      <c r="I114" s="241"/>
      <c r="J114" s="241"/>
    </row>
    <row r="115" spans="1:10" s="240" customFormat="1" ht="12" x14ac:dyDescent="0.2">
      <c r="A115" s="233" t="s">
        <v>725</v>
      </c>
      <c r="B115" s="414" t="s">
        <v>558</v>
      </c>
      <c r="C115" s="403" t="s">
        <v>548</v>
      </c>
      <c r="D115" s="420">
        <f>(11*3.2)-(2.1*0.9)</f>
        <v>33.31</v>
      </c>
      <c r="E115" s="445">
        <v>6500</v>
      </c>
      <c r="F115" s="401">
        <f t="shared" si="4"/>
        <v>216515.00000000003</v>
      </c>
      <c r="I115" s="241"/>
      <c r="J115" s="241"/>
    </row>
    <row r="116" spans="1:10" s="240" customFormat="1" ht="13.5" x14ac:dyDescent="0.2">
      <c r="A116" s="233" t="s">
        <v>726</v>
      </c>
      <c r="B116" s="414" t="s">
        <v>559</v>
      </c>
      <c r="C116" s="403" t="s">
        <v>727</v>
      </c>
      <c r="D116" s="420">
        <f>(12*3.2)-(2.1*0.9)</f>
        <v>36.510000000000005</v>
      </c>
      <c r="E116" s="445">
        <v>4500</v>
      </c>
      <c r="F116" s="401">
        <f t="shared" si="4"/>
        <v>164295.00000000003</v>
      </c>
      <c r="I116" s="241"/>
      <c r="J116" s="241"/>
    </row>
    <row r="117" spans="1:10" s="240" customFormat="1" ht="12" x14ac:dyDescent="0.2">
      <c r="A117" s="233" t="s">
        <v>728</v>
      </c>
      <c r="B117" s="414" t="s">
        <v>560</v>
      </c>
      <c r="C117" s="403" t="s">
        <v>548</v>
      </c>
      <c r="D117" s="420">
        <f>2.4*2.4</f>
        <v>5.76</v>
      </c>
      <c r="E117" s="445">
        <v>4200</v>
      </c>
      <c r="F117" s="401">
        <f t="shared" si="4"/>
        <v>24192</v>
      </c>
      <c r="I117" s="241"/>
      <c r="J117" s="241"/>
    </row>
    <row r="118" spans="1:10" s="240" customFormat="1" ht="12" x14ac:dyDescent="0.2">
      <c r="A118" s="233" t="s">
        <v>729</v>
      </c>
      <c r="B118" s="414" t="s">
        <v>561</v>
      </c>
      <c r="C118" s="403" t="s">
        <v>548</v>
      </c>
      <c r="D118" s="420">
        <f>2.8*2.8</f>
        <v>7.839999999999999</v>
      </c>
      <c r="E118" s="445">
        <v>6400</v>
      </c>
      <c r="F118" s="401">
        <f t="shared" si="4"/>
        <v>50175.999999999993</v>
      </c>
      <c r="I118" s="241"/>
      <c r="J118" s="241"/>
    </row>
    <row r="119" spans="1:10" s="240" customFormat="1" ht="12" x14ac:dyDescent="0.2">
      <c r="A119" s="233" t="s">
        <v>730</v>
      </c>
      <c r="B119" s="414" t="s">
        <v>562</v>
      </c>
      <c r="C119" s="403" t="s">
        <v>548</v>
      </c>
      <c r="D119" s="420">
        <f>(3.8*4)*0.8</f>
        <v>12.16</v>
      </c>
      <c r="E119" s="445">
        <v>12500</v>
      </c>
      <c r="F119" s="401">
        <f t="shared" si="4"/>
        <v>152000</v>
      </c>
      <c r="I119" s="241"/>
      <c r="J119" s="241"/>
    </row>
    <row r="120" spans="1:10" s="377" customFormat="1" ht="12" x14ac:dyDescent="0.2">
      <c r="A120" s="233" t="s">
        <v>731</v>
      </c>
      <c r="B120" s="414" t="s">
        <v>563</v>
      </c>
      <c r="C120" s="403" t="s">
        <v>548</v>
      </c>
      <c r="D120" s="420">
        <f>(33.31)+(12*0.2)</f>
        <v>35.71</v>
      </c>
      <c r="E120" s="445">
        <v>2500</v>
      </c>
      <c r="F120" s="401">
        <f t="shared" si="4"/>
        <v>89275</v>
      </c>
      <c r="G120" s="240"/>
      <c r="I120" s="406"/>
      <c r="J120" s="406"/>
    </row>
    <row r="121" spans="1:10" s="240" customFormat="1" ht="12" x14ac:dyDescent="0.2">
      <c r="A121" s="233" t="s">
        <v>732</v>
      </c>
      <c r="B121" s="414" t="s">
        <v>564</v>
      </c>
      <c r="C121" s="403" t="s">
        <v>548</v>
      </c>
      <c r="D121" s="420">
        <f>(0.9*2.1*2*2)+(1*1.2*2)+(15.2*0.2*2)</f>
        <v>16.04</v>
      </c>
      <c r="E121" s="445">
        <v>2500</v>
      </c>
      <c r="F121" s="401">
        <f>D121*E121</f>
        <v>40100</v>
      </c>
      <c r="I121" s="241"/>
      <c r="J121" s="241"/>
    </row>
    <row r="122" spans="1:10" s="240" customFormat="1" ht="12" x14ac:dyDescent="0.2">
      <c r="A122" s="233" t="s">
        <v>733</v>
      </c>
      <c r="B122" s="414" t="s">
        <v>565</v>
      </c>
      <c r="C122" s="403" t="s">
        <v>190</v>
      </c>
      <c r="D122" s="420">
        <v>1</v>
      </c>
      <c r="E122" s="445">
        <v>120000</v>
      </c>
      <c r="F122" s="401">
        <f>D122*E122</f>
        <v>120000</v>
      </c>
      <c r="I122" s="241"/>
      <c r="J122" s="241"/>
    </row>
    <row r="123" spans="1:10" s="240" customFormat="1" ht="12" x14ac:dyDescent="0.2">
      <c r="A123" s="233" t="s">
        <v>734</v>
      </c>
      <c r="B123" s="414" t="s">
        <v>566</v>
      </c>
      <c r="C123" s="403" t="s">
        <v>190</v>
      </c>
      <c r="D123" s="420">
        <v>1</v>
      </c>
      <c r="E123" s="445">
        <v>525000</v>
      </c>
      <c r="F123" s="401">
        <f>D123*E123</f>
        <v>525000</v>
      </c>
      <c r="I123" s="241"/>
      <c r="J123" s="241"/>
    </row>
    <row r="124" spans="1:10" s="240" customFormat="1" ht="12" x14ac:dyDescent="0.2">
      <c r="A124" s="379"/>
      <c r="B124" s="470"/>
      <c r="C124" s="471"/>
      <c r="D124" s="472"/>
      <c r="E124" s="445"/>
      <c r="F124" s="446"/>
      <c r="I124" s="241"/>
      <c r="J124" s="241"/>
    </row>
    <row r="125" spans="1:10" s="240" customFormat="1" ht="12" x14ac:dyDescent="0.2">
      <c r="A125" s="473"/>
      <c r="B125" s="388" t="s">
        <v>735</v>
      </c>
      <c r="C125" s="474"/>
      <c r="D125" s="475"/>
      <c r="E125" s="476"/>
      <c r="F125" s="477">
        <f>SUM(F99:F123)</f>
        <v>3184405.5000000005</v>
      </c>
      <c r="I125" s="241"/>
      <c r="J125" s="241"/>
    </row>
    <row r="126" spans="1:10" s="240" customFormat="1" ht="12" x14ac:dyDescent="0.2">
      <c r="A126" s="478"/>
      <c r="B126" s="460"/>
      <c r="C126" s="479"/>
      <c r="D126" s="480"/>
      <c r="E126" s="481"/>
      <c r="F126" s="482"/>
      <c r="I126" s="241"/>
      <c r="J126" s="241"/>
    </row>
    <row r="127" spans="1:10" s="240" customFormat="1" ht="12" x14ac:dyDescent="0.2">
      <c r="A127" s="478"/>
      <c r="B127" s="462"/>
      <c r="C127" s="189"/>
      <c r="D127" s="190"/>
      <c r="E127" s="191"/>
      <c r="F127" s="463"/>
      <c r="I127" s="241"/>
      <c r="J127" s="241"/>
    </row>
    <row r="128" spans="1:10" s="240" customFormat="1" ht="12" x14ac:dyDescent="0.2">
      <c r="A128" s="464" t="s">
        <v>166</v>
      </c>
      <c r="B128" s="483" t="s">
        <v>567</v>
      </c>
      <c r="C128" s="389"/>
      <c r="D128" s="457"/>
      <c r="E128" s="465"/>
      <c r="F128" s="466"/>
      <c r="I128" s="241"/>
      <c r="J128" s="241"/>
    </row>
    <row r="129" spans="1:10" s="240" customFormat="1" ht="12" x14ac:dyDescent="0.2">
      <c r="A129" s="188"/>
      <c r="B129" s="462"/>
      <c r="C129" s="189"/>
      <c r="D129" s="190"/>
      <c r="E129" s="191"/>
      <c r="F129" s="463"/>
      <c r="I129" s="241"/>
      <c r="J129" s="241"/>
    </row>
    <row r="130" spans="1:10" s="240" customFormat="1" ht="13.5" x14ac:dyDescent="0.2">
      <c r="A130" s="233" t="s">
        <v>167</v>
      </c>
      <c r="B130" s="467" t="s">
        <v>568</v>
      </c>
      <c r="C130" s="468" t="s">
        <v>400</v>
      </c>
      <c r="D130" s="427">
        <f>5.8*4.9*0.3</f>
        <v>8.5259999999999998</v>
      </c>
      <c r="E130" s="469">
        <v>2400</v>
      </c>
      <c r="F130" s="397">
        <f t="shared" ref="F130:F151" si="5">D130*E130</f>
        <v>20462.399999999998</v>
      </c>
      <c r="I130" s="241"/>
      <c r="J130" s="241"/>
    </row>
    <row r="131" spans="1:10" s="240" customFormat="1" ht="13.5" x14ac:dyDescent="0.2">
      <c r="A131" s="233" t="s">
        <v>168</v>
      </c>
      <c r="B131" s="467" t="s">
        <v>569</v>
      </c>
      <c r="C131" s="468" t="s">
        <v>400</v>
      </c>
      <c r="D131" s="427">
        <f>5.8*4.9*0.7</f>
        <v>19.893999999999998</v>
      </c>
      <c r="E131" s="469">
        <v>2500</v>
      </c>
      <c r="F131" s="397">
        <f t="shared" si="5"/>
        <v>49734.999999999993</v>
      </c>
      <c r="I131" s="241"/>
      <c r="J131" s="241"/>
    </row>
    <row r="132" spans="1:10" s="240" customFormat="1" ht="13.5" x14ac:dyDescent="0.2">
      <c r="A132" s="233" t="s">
        <v>169</v>
      </c>
      <c r="B132" s="467" t="s">
        <v>570</v>
      </c>
      <c r="C132" s="468" t="s">
        <v>400</v>
      </c>
      <c r="D132" s="427">
        <f>3*2.2*3.8</f>
        <v>25.080000000000002</v>
      </c>
      <c r="E132" s="469">
        <v>3000</v>
      </c>
      <c r="F132" s="397">
        <f t="shared" si="5"/>
        <v>75240</v>
      </c>
      <c r="I132" s="241"/>
      <c r="J132" s="241"/>
    </row>
    <row r="133" spans="1:10" s="240" customFormat="1" ht="13.5" x14ac:dyDescent="0.2">
      <c r="A133" s="233" t="s">
        <v>170</v>
      </c>
      <c r="B133" s="467" t="s">
        <v>544</v>
      </c>
      <c r="C133" s="468" t="s">
        <v>400</v>
      </c>
      <c r="D133" s="427">
        <f>4*0.4*0.7</f>
        <v>1.1199999999999999</v>
      </c>
      <c r="E133" s="469">
        <v>2500</v>
      </c>
      <c r="F133" s="397">
        <f t="shared" si="5"/>
        <v>2799.9999999999995</v>
      </c>
      <c r="I133" s="241"/>
      <c r="J133" s="241"/>
    </row>
    <row r="134" spans="1:10" s="240" customFormat="1" ht="13.5" x14ac:dyDescent="0.2">
      <c r="A134" s="233" t="s">
        <v>171</v>
      </c>
      <c r="B134" s="414" t="s">
        <v>545</v>
      </c>
      <c r="C134" s="403" t="s">
        <v>400</v>
      </c>
      <c r="D134" s="420">
        <f>4*0.4*0.05</f>
        <v>8.0000000000000016E-2</v>
      </c>
      <c r="E134" s="445">
        <v>75000</v>
      </c>
      <c r="F134" s="401">
        <f t="shared" si="5"/>
        <v>6000.0000000000009</v>
      </c>
      <c r="I134" s="241"/>
      <c r="J134" s="241"/>
    </row>
    <row r="135" spans="1:10" s="240" customFormat="1" ht="13.5" x14ac:dyDescent="0.2">
      <c r="A135" s="233" t="s">
        <v>172</v>
      </c>
      <c r="B135" s="414" t="s">
        <v>571</v>
      </c>
      <c r="C135" s="403" t="s">
        <v>400</v>
      </c>
      <c r="D135" s="420">
        <f>4*0.4*0.9</f>
        <v>1.4400000000000002</v>
      </c>
      <c r="E135" s="445">
        <v>70000</v>
      </c>
      <c r="F135" s="401">
        <f t="shared" si="5"/>
        <v>100800.00000000001</v>
      </c>
      <c r="I135" s="241"/>
      <c r="J135" s="241"/>
    </row>
    <row r="136" spans="1:10" s="240" customFormat="1" ht="13.5" x14ac:dyDescent="0.2">
      <c r="A136" s="233" t="s">
        <v>173</v>
      </c>
      <c r="B136" s="414" t="s">
        <v>572</v>
      </c>
      <c r="C136" s="403" t="s">
        <v>400</v>
      </c>
      <c r="D136" s="420">
        <f>2.2*3.8*0.12</f>
        <v>1.0031999999999999</v>
      </c>
      <c r="E136" s="445">
        <v>350000</v>
      </c>
      <c r="F136" s="401">
        <f t="shared" si="5"/>
        <v>351119.99999999994</v>
      </c>
      <c r="I136" s="241"/>
      <c r="J136" s="241"/>
    </row>
    <row r="137" spans="1:10" s="240" customFormat="1" ht="13.5" x14ac:dyDescent="0.2">
      <c r="A137" s="233" t="s">
        <v>174</v>
      </c>
      <c r="B137" s="414" t="s">
        <v>573</v>
      </c>
      <c r="C137" s="403" t="s">
        <v>400</v>
      </c>
      <c r="D137" s="420">
        <f>(((3.8+3.8+1.8+1.8+1.8)*0.2*3)+((7.6+3.9)*0.2*2.85))-(2.1*1*0.2*2)</f>
        <v>13.515000000000002</v>
      </c>
      <c r="E137" s="445">
        <v>70000</v>
      </c>
      <c r="F137" s="401">
        <f t="shared" si="5"/>
        <v>946050.00000000012</v>
      </c>
      <c r="I137" s="241"/>
      <c r="J137" s="241"/>
    </row>
    <row r="138" spans="1:10" s="240" customFormat="1" ht="13.5" x14ac:dyDescent="0.2">
      <c r="A138" s="233" t="s">
        <v>175</v>
      </c>
      <c r="B138" s="484" t="s">
        <v>551</v>
      </c>
      <c r="C138" s="403" t="s">
        <v>400</v>
      </c>
      <c r="D138" s="420">
        <f>(3.8+3.8+1.3+1.3)*0.2*0.2</f>
        <v>0.40800000000000014</v>
      </c>
      <c r="E138" s="445">
        <v>350000</v>
      </c>
      <c r="F138" s="401">
        <f t="shared" si="5"/>
        <v>142800.00000000006</v>
      </c>
      <c r="I138" s="241"/>
      <c r="J138" s="241"/>
    </row>
    <row r="139" spans="1:10" s="240" customFormat="1" ht="12" x14ac:dyDescent="0.2">
      <c r="A139" s="233" t="s">
        <v>176</v>
      </c>
      <c r="B139" s="402" t="s">
        <v>552</v>
      </c>
      <c r="C139" s="403" t="s">
        <v>14</v>
      </c>
      <c r="D139" s="420">
        <v>6</v>
      </c>
      <c r="E139" s="445">
        <v>1800</v>
      </c>
      <c r="F139" s="401">
        <f t="shared" si="5"/>
        <v>10800</v>
      </c>
      <c r="I139" s="241"/>
      <c r="J139" s="241"/>
    </row>
    <row r="140" spans="1:10" s="240" customFormat="1" ht="12" x14ac:dyDescent="0.2">
      <c r="A140" s="233" t="s">
        <v>177</v>
      </c>
      <c r="B140" s="414" t="s">
        <v>553</v>
      </c>
      <c r="C140" s="231" t="s">
        <v>11</v>
      </c>
      <c r="D140" s="420">
        <f>(2.5*3)+(4.6*3)</f>
        <v>21.299999999999997</v>
      </c>
      <c r="E140" s="445">
        <v>3500</v>
      </c>
      <c r="F140" s="401">
        <f t="shared" si="5"/>
        <v>74549.999999999985</v>
      </c>
      <c r="I140" s="241"/>
      <c r="J140" s="241"/>
    </row>
    <row r="141" spans="1:10" s="240" customFormat="1" ht="13.5" x14ac:dyDescent="0.2">
      <c r="A141" s="233" t="s">
        <v>504</v>
      </c>
      <c r="B141" s="414" t="s">
        <v>526</v>
      </c>
      <c r="C141" s="403" t="s">
        <v>727</v>
      </c>
      <c r="D141" s="420">
        <f>4.6*2.6</f>
        <v>11.959999999999999</v>
      </c>
      <c r="E141" s="445">
        <v>15000</v>
      </c>
      <c r="F141" s="401">
        <f t="shared" si="5"/>
        <v>179400</v>
      </c>
      <c r="I141" s="241"/>
      <c r="J141" s="241"/>
    </row>
    <row r="142" spans="1:10" s="240" customFormat="1" ht="12" x14ac:dyDescent="0.2">
      <c r="A142" s="233" t="s">
        <v>505</v>
      </c>
      <c r="B142" s="414" t="s">
        <v>554</v>
      </c>
      <c r="C142" s="231" t="s">
        <v>11</v>
      </c>
      <c r="D142" s="420">
        <f>(4.6+2.5)*2</f>
        <v>14.2</v>
      </c>
      <c r="E142" s="445">
        <v>2700</v>
      </c>
      <c r="F142" s="401">
        <f t="shared" si="5"/>
        <v>38340</v>
      </c>
      <c r="I142" s="241"/>
      <c r="J142" s="241"/>
    </row>
    <row r="143" spans="1:10" s="240" customFormat="1" ht="12" x14ac:dyDescent="0.2">
      <c r="A143" s="233" t="s">
        <v>506</v>
      </c>
      <c r="B143" s="414" t="s">
        <v>574</v>
      </c>
      <c r="C143" s="403" t="s">
        <v>14</v>
      </c>
      <c r="D143" s="420">
        <v>2</v>
      </c>
      <c r="E143" s="445">
        <v>87000</v>
      </c>
      <c r="F143" s="401">
        <f t="shared" si="5"/>
        <v>174000</v>
      </c>
      <c r="I143" s="241"/>
      <c r="J143" s="241"/>
    </row>
    <row r="144" spans="1:10" s="240" customFormat="1" ht="12" x14ac:dyDescent="0.2">
      <c r="A144" s="233" t="s">
        <v>507</v>
      </c>
      <c r="B144" s="414" t="s">
        <v>575</v>
      </c>
      <c r="C144" s="231" t="s">
        <v>11</v>
      </c>
      <c r="D144" s="420">
        <v>8</v>
      </c>
      <c r="E144" s="445">
        <v>9400</v>
      </c>
      <c r="F144" s="401">
        <f t="shared" si="5"/>
        <v>75200</v>
      </c>
      <c r="I144" s="241"/>
      <c r="J144" s="241"/>
    </row>
    <row r="145" spans="1:10" s="240" customFormat="1" ht="13.5" x14ac:dyDescent="0.2">
      <c r="A145" s="233" t="s">
        <v>736</v>
      </c>
      <c r="B145" s="414" t="s">
        <v>576</v>
      </c>
      <c r="C145" s="403" t="s">
        <v>727</v>
      </c>
      <c r="D145" s="420">
        <f>22*0.15</f>
        <v>3.3</v>
      </c>
      <c r="E145" s="445">
        <v>4500</v>
      </c>
      <c r="F145" s="401">
        <f t="shared" si="5"/>
        <v>14850</v>
      </c>
      <c r="I145" s="241"/>
      <c r="J145" s="241"/>
    </row>
    <row r="146" spans="1:10" s="377" customFormat="1" ht="13.5" x14ac:dyDescent="0.2">
      <c r="A146" s="233" t="s">
        <v>737</v>
      </c>
      <c r="B146" s="414" t="s">
        <v>577</v>
      </c>
      <c r="C146" s="403" t="s">
        <v>727</v>
      </c>
      <c r="D146" s="420">
        <f>(10*2.8)</f>
        <v>28</v>
      </c>
      <c r="E146" s="445">
        <v>6500</v>
      </c>
      <c r="F146" s="401">
        <f t="shared" si="5"/>
        <v>182000</v>
      </c>
      <c r="G146" s="240"/>
      <c r="I146" s="406"/>
      <c r="J146" s="406"/>
    </row>
    <row r="147" spans="1:10" s="240" customFormat="1" ht="13.5" x14ac:dyDescent="0.2">
      <c r="A147" s="233" t="s">
        <v>738</v>
      </c>
      <c r="B147" s="414" t="s">
        <v>578</v>
      </c>
      <c r="C147" s="403" t="s">
        <v>727</v>
      </c>
      <c r="D147" s="420">
        <f>(((3.8*2)+(1.7*2))*2.9)-(0.8*2.1)</f>
        <v>30.22</v>
      </c>
      <c r="E147" s="445">
        <v>4500</v>
      </c>
      <c r="F147" s="401">
        <f t="shared" si="5"/>
        <v>135990</v>
      </c>
      <c r="I147" s="241"/>
      <c r="J147" s="241"/>
    </row>
    <row r="148" spans="1:10" s="240" customFormat="1" ht="13.5" x14ac:dyDescent="0.2">
      <c r="A148" s="233" t="s">
        <v>739</v>
      </c>
      <c r="B148" s="414" t="s">
        <v>560</v>
      </c>
      <c r="C148" s="403" t="s">
        <v>727</v>
      </c>
      <c r="D148" s="420">
        <f>3.5*0.4</f>
        <v>1.4000000000000001</v>
      </c>
      <c r="E148" s="445">
        <v>4200</v>
      </c>
      <c r="F148" s="401">
        <f t="shared" si="5"/>
        <v>5880.0000000000009</v>
      </c>
      <c r="I148" s="241"/>
      <c r="J148" s="241"/>
    </row>
    <row r="149" spans="1:10" s="240" customFormat="1" ht="13.5" x14ac:dyDescent="0.2">
      <c r="A149" s="233" t="s">
        <v>740</v>
      </c>
      <c r="B149" s="414" t="s">
        <v>579</v>
      </c>
      <c r="C149" s="403" t="s">
        <v>727</v>
      </c>
      <c r="D149" s="420">
        <f>(1.6*1.3)*2</f>
        <v>4.16</v>
      </c>
      <c r="E149" s="445">
        <v>6400</v>
      </c>
      <c r="F149" s="401">
        <f t="shared" si="5"/>
        <v>26624</v>
      </c>
      <c r="I149" s="241"/>
      <c r="J149" s="241"/>
    </row>
    <row r="150" spans="1:10" s="240" customFormat="1" ht="13.5" x14ac:dyDescent="0.2">
      <c r="A150" s="233" t="s">
        <v>741</v>
      </c>
      <c r="B150" s="484" t="s">
        <v>562</v>
      </c>
      <c r="C150" s="403" t="s">
        <v>727</v>
      </c>
      <c r="D150" s="420">
        <f>(3.8*0.8)+(3.8*0.8)</f>
        <v>6.08</v>
      </c>
      <c r="E150" s="445">
        <v>12500</v>
      </c>
      <c r="F150" s="401">
        <f t="shared" si="5"/>
        <v>76000</v>
      </c>
      <c r="I150" s="241"/>
      <c r="J150" s="241"/>
    </row>
    <row r="151" spans="1:10" s="240" customFormat="1" ht="13.5" x14ac:dyDescent="0.2">
      <c r="A151" s="233" t="s">
        <v>742</v>
      </c>
      <c r="B151" s="414" t="s">
        <v>563</v>
      </c>
      <c r="C151" s="403" t="s">
        <v>727</v>
      </c>
      <c r="D151" s="420">
        <f>28+0.41</f>
        <v>28.41</v>
      </c>
      <c r="E151" s="445">
        <v>2500</v>
      </c>
      <c r="F151" s="401">
        <f t="shared" si="5"/>
        <v>71025</v>
      </c>
      <c r="I151" s="241"/>
      <c r="J151" s="241"/>
    </row>
    <row r="152" spans="1:10" s="240" customFormat="1" ht="13.5" x14ac:dyDescent="0.2">
      <c r="A152" s="233" t="s">
        <v>743</v>
      </c>
      <c r="B152" s="414" t="s">
        <v>580</v>
      </c>
      <c r="C152" s="403" t="s">
        <v>727</v>
      </c>
      <c r="D152" s="420">
        <f>(0.8*2.1*2*2)+(14.2*0.2)</f>
        <v>9.56</v>
      </c>
      <c r="E152" s="445">
        <v>2500</v>
      </c>
      <c r="F152" s="401">
        <f>D152*E152</f>
        <v>23900</v>
      </c>
      <c r="I152" s="241"/>
      <c r="J152" s="241"/>
    </row>
    <row r="153" spans="1:10" s="240" customFormat="1" ht="12" x14ac:dyDescent="0.2">
      <c r="A153" s="233" t="s">
        <v>744</v>
      </c>
      <c r="B153" s="414" t="s">
        <v>581</v>
      </c>
      <c r="C153" s="403" t="s">
        <v>190</v>
      </c>
      <c r="D153" s="420">
        <v>1</v>
      </c>
      <c r="E153" s="445">
        <v>120000</v>
      </c>
      <c r="F153" s="401">
        <f>D153*E153</f>
        <v>120000</v>
      </c>
      <c r="I153" s="241"/>
      <c r="J153" s="241"/>
    </row>
    <row r="154" spans="1:10" s="240" customFormat="1" ht="12" x14ac:dyDescent="0.2">
      <c r="A154" s="188"/>
      <c r="B154" s="470"/>
      <c r="C154" s="471"/>
      <c r="D154" s="472"/>
      <c r="E154" s="445"/>
      <c r="F154" s="446"/>
      <c r="I154" s="241"/>
      <c r="J154" s="241"/>
    </row>
    <row r="155" spans="1:10" s="240" customFormat="1" ht="12" x14ac:dyDescent="0.2">
      <c r="A155" s="451"/>
      <c r="B155" s="388" t="s">
        <v>745</v>
      </c>
      <c r="C155" s="474"/>
      <c r="D155" s="475"/>
      <c r="E155" s="476"/>
      <c r="F155" s="485">
        <f>SUM(F130:F153)</f>
        <v>2903566.4</v>
      </c>
      <c r="I155" s="241"/>
      <c r="J155" s="241"/>
    </row>
    <row r="156" spans="1:10" s="240" customFormat="1" ht="12" x14ac:dyDescent="0.2">
      <c r="A156" s="188"/>
      <c r="B156" s="486"/>
      <c r="C156" s="487"/>
      <c r="D156" s="488"/>
      <c r="E156" s="489"/>
      <c r="F156" s="490"/>
      <c r="I156" s="241"/>
      <c r="J156" s="241"/>
    </row>
    <row r="157" spans="1:10" s="240" customFormat="1" ht="12" x14ac:dyDescent="0.2">
      <c r="A157" s="464" t="s">
        <v>178</v>
      </c>
      <c r="B157" s="491" t="s">
        <v>746</v>
      </c>
      <c r="C157" s="389"/>
      <c r="D157" s="457"/>
      <c r="E157" s="465"/>
      <c r="F157" s="466"/>
      <c r="I157" s="241"/>
      <c r="J157" s="241"/>
    </row>
    <row r="158" spans="1:10" s="240" customFormat="1" ht="12" x14ac:dyDescent="0.2">
      <c r="A158" s="188"/>
      <c r="B158" s="462"/>
      <c r="C158" s="189"/>
      <c r="D158" s="190"/>
      <c r="E158" s="191"/>
      <c r="F158" s="463"/>
      <c r="I158" s="241"/>
      <c r="J158" s="241"/>
    </row>
    <row r="159" spans="1:10" s="240" customFormat="1" ht="13.5" x14ac:dyDescent="0.2">
      <c r="A159" s="233" t="s">
        <v>179</v>
      </c>
      <c r="B159" s="405" t="s">
        <v>582</v>
      </c>
      <c r="C159" s="468" t="s">
        <v>400</v>
      </c>
      <c r="D159" s="427">
        <f>(16*12*1.2)+((32.5+12)*0.5*0.65)</f>
        <v>244.86249999999998</v>
      </c>
      <c r="E159" s="469">
        <v>2500</v>
      </c>
      <c r="F159" s="397">
        <f t="shared" ref="F159:F184" si="6">D159*E159</f>
        <v>612156.25</v>
      </c>
      <c r="I159" s="241"/>
      <c r="J159" s="241"/>
    </row>
    <row r="160" spans="1:10" s="240" customFormat="1" ht="13.5" x14ac:dyDescent="0.2">
      <c r="A160" s="233" t="s">
        <v>180</v>
      </c>
      <c r="B160" s="398" t="s">
        <v>583</v>
      </c>
      <c r="C160" s="403" t="s">
        <v>401</v>
      </c>
      <c r="D160" s="420">
        <f>(10*5.3)</f>
        <v>53</v>
      </c>
      <c r="E160" s="400">
        <v>4200</v>
      </c>
      <c r="F160" s="401">
        <f t="shared" si="6"/>
        <v>222600</v>
      </c>
      <c r="I160" s="241"/>
      <c r="J160" s="241"/>
    </row>
    <row r="161" spans="1:13" s="240" customFormat="1" ht="25.5" customHeight="1" x14ac:dyDescent="0.2">
      <c r="A161" s="233" t="s">
        <v>181</v>
      </c>
      <c r="B161" s="398" t="s">
        <v>584</v>
      </c>
      <c r="C161" s="403" t="s">
        <v>400</v>
      </c>
      <c r="D161" s="420">
        <f>((32.5+12)*0.5*0.05)</f>
        <v>1.1125</v>
      </c>
      <c r="E161" s="400">
        <v>75000</v>
      </c>
      <c r="F161" s="401">
        <f t="shared" si="6"/>
        <v>83437.5</v>
      </c>
      <c r="I161" s="248"/>
      <c r="J161" s="248"/>
    </row>
    <row r="162" spans="1:13" s="377" customFormat="1" ht="13.5" x14ac:dyDescent="0.2">
      <c r="A162" s="233" t="s">
        <v>182</v>
      </c>
      <c r="B162" s="398" t="s">
        <v>585</v>
      </c>
      <c r="C162" s="403" t="s">
        <v>401</v>
      </c>
      <c r="D162" s="420">
        <f>(36*1*0.1)+(1.1*0.25*0.07*2)</f>
        <v>3.6385000000000001</v>
      </c>
      <c r="E162" s="400">
        <v>75000</v>
      </c>
      <c r="F162" s="401">
        <f t="shared" si="6"/>
        <v>272887.5</v>
      </c>
      <c r="G162" s="240"/>
      <c r="H162" s="240"/>
      <c r="I162" s="248"/>
      <c r="J162" s="248"/>
      <c r="K162" s="240"/>
      <c r="L162" s="240"/>
      <c r="M162" s="240"/>
    </row>
    <row r="163" spans="1:13" s="240" customFormat="1" ht="13.5" x14ac:dyDescent="0.2">
      <c r="A163" s="233" t="s">
        <v>183</v>
      </c>
      <c r="B163" s="398" t="s">
        <v>586</v>
      </c>
      <c r="C163" s="403" t="s">
        <v>401</v>
      </c>
      <c r="D163" s="420">
        <f>(10*5.3)</f>
        <v>53</v>
      </c>
      <c r="E163" s="400">
        <v>75000</v>
      </c>
      <c r="F163" s="401">
        <f t="shared" si="6"/>
        <v>3975000</v>
      </c>
      <c r="I163" s="248"/>
      <c r="J163" s="248"/>
    </row>
    <row r="164" spans="1:13" s="240" customFormat="1" ht="13.5" x14ac:dyDescent="0.2">
      <c r="A164" s="233" t="s">
        <v>184</v>
      </c>
      <c r="B164" s="398" t="s">
        <v>587</v>
      </c>
      <c r="C164" s="403" t="s">
        <v>400</v>
      </c>
      <c r="D164" s="420">
        <f>(0.21*0.21*4*(4+4))+(3*2*0.1)</f>
        <v>2.0111999999999997</v>
      </c>
      <c r="E164" s="400">
        <v>350000</v>
      </c>
      <c r="F164" s="401">
        <f t="shared" si="6"/>
        <v>703919.99999999988</v>
      </c>
      <c r="I164" s="241"/>
      <c r="J164" s="241"/>
    </row>
    <row r="165" spans="1:13" s="240" customFormat="1" ht="13.5" x14ac:dyDescent="0.2">
      <c r="A165" s="233" t="s">
        <v>185</v>
      </c>
      <c r="B165" s="398" t="s">
        <v>588</v>
      </c>
      <c r="C165" s="403" t="s">
        <v>400</v>
      </c>
      <c r="D165" s="420">
        <f>(32.5+12)*0.5*0.5</f>
        <v>11.125</v>
      </c>
      <c r="E165" s="400">
        <v>70000</v>
      </c>
      <c r="F165" s="401">
        <f t="shared" si="6"/>
        <v>778750</v>
      </c>
      <c r="I165" s="248"/>
      <c r="J165" s="248"/>
    </row>
    <row r="166" spans="1:13" s="493" customFormat="1" ht="13.5" x14ac:dyDescent="0.2">
      <c r="A166" s="233" t="s">
        <v>186</v>
      </c>
      <c r="B166" s="398" t="s">
        <v>589</v>
      </c>
      <c r="C166" s="403" t="s">
        <v>400</v>
      </c>
      <c r="D166" s="420">
        <f>((32.5+12)*4*0.21)-(((1.5*2.3*2)+(2.2*3.7)+(1*2.3)+(1*2*4))*0.21)</f>
        <v>32.058599999999998</v>
      </c>
      <c r="E166" s="400">
        <v>70000</v>
      </c>
      <c r="F166" s="401">
        <f t="shared" si="6"/>
        <v>2244102</v>
      </c>
      <c r="G166" s="415"/>
      <c r="H166" s="240"/>
      <c r="I166" s="492"/>
      <c r="J166" s="492"/>
      <c r="K166" s="415"/>
      <c r="L166" s="415"/>
      <c r="M166" s="415"/>
    </row>
    <row r="167" spans="1:13" s="240" customFormat="1" ht="13.5" x14ac:dyDescent="0.2">
      <c r="A167" s="233" t="s">
        <v>187</v>
      </c>
      <c r="B167" s="398" t="s">
        <v>590</v>
      </c>
      <c r="C167" s="403" t="s">
        <v>400</v>
      </c>
      <c r="D167" s="420">
        <f>((32.5+12)*0.5*0.03)</f>
        <v>0.66749999999999998</v>
      </c>
      <c r="E167" s="400">
        <v>5600</v>
      </c>
      <c r="F167" s="401">
        <f t="shared" si="6"/>
        <v>3738</v>
      </c>
      <c r="I167" s="248"/>
      <c r="J167" s="248"/>
    </row>
    <row r="168" spans="1:13" s="377" customFormat="1" ht="13.5" x14ac:dyDescent="0.2">
      <c r="A168" s="233" t="s">
        <v>188</v>
      </c>
      <c r="B168" s="398" t="s">
        <v>591</v>
      </c>
      <c r="C168" s="403" t="s">
        <v>400</v>
      </c>
      <c r="D168" s="420">
        <f>(3.6*1.3*1.1)+(1.22*0.5*0.1)</f>
        <v>5.2090000000000014</v>
      </c>
      <c r="E168" s="400">
        <v>120000</v>
      </c>
      <c r="F168" s="401">
        <f t="shared" si="6"/>
        <v>625080.00000000012</v>
      </c>
      <c r="G168" s="240"/>
      <c r="H168" s="240"/>
      <c r="I168" s="248"/>
      <c r="J168" s="248"/>
      <c r="K168" s="240"/>
      <c r="L168" s="240"/>
      <c r="M168" s="240"/>
    </row>
    <row r="169" spans="1:13" s="240" customFormat="1" ht="12" x14ac:dyDescent="0.2">
      <c r="A169" s="233" t="s">
        <v>236</v>
      </c>
      <c r="B169" s="398" t="s">
        <v>592</v>
      </c>
      <c r="C169" s="403" t="s">
        <v>519</v>
      </c>
      <c r="D169" s="420">
        <f>(4*8*2)+(2*3*2)+(2*4*3)</f>
        <v>100</v>
      </c>
      <c r="E169" s="445">
        <v>1800</v>
      </c>
      <c r="F169" s="401">
        <f t="shared" si="6"/>
        <v>180000</v>
      </c>
      <c r="I169" s="248"/>
      <c r="J169" s="248"/>
    </row>
    <row r="170" spans="1:13" s="240" customFormat="1" ht="12" x14ac:dyDescent="0.2">
      <c r="A170" s="233" t="s">
        <v>237</v>
      </c>
      <c r="B170" s="398" t="s">
        <v>593</v>
      </c>
      <c r="C170" s="403" t="s">
        <v>11</v>
      </c>
      <c r="D170" s="420">
        <f>32.5+12</f>
        <v>44.5</v>
      </c>
      <c r="E170" s="400">
        <v>2800</v>
      </c>
      <c r="F170" s="401">
        <f t="shared" si="6"/>
        <v>124600</v>
      </c>
      <c r="I170" s="241"/>
      <c r="J170" s="241"/>
    </row>
    <row r="171" spans="1:13" s="240" customFormat="1" ht="13.5" x14ac:dyDescent="0.2">
      <c r="A171" s="233" t="s">
        <v>238</v>
      </c>
      <c r="B171" s="398" t="s">
        <v>747</v>
      </c>
      <c r="C171" s="403" t="s">
        <v>401</v>
      </c>
      <c r="D171" s="420">
        <f>(((32.5+12+12)*4.2)+((32.5+12)*1.35))-((1*2*2)+(1.5*2.3*2)+(1*2.3))</f>
        <v>284.17500000000001</v>
      </c>
      <c r="E171" s="400">
        <v>6200</v>
      </c>
      <c r="F171" s="401">
        <f t="shared" si="6"/>
        <v>1761885</v>
      </c>
      <c r="I171" s="241"/>
      <c r="J171" s="241"/>
    </row>
    <row r="172" spans="1:13" s="240" customFormat="1" ht="13.5" x14ac:dyDescent="0.2">
      <c r="A172" s="233" t="s">
        <v>239</v>
      </c>
      <c r="B172" s="398" t="s">
        <v>594</v>
      </c>
      <c r="C172" s="403" t="s">
        <v>401</v>
      </c>
      <c r="D172" s="420">
        <f>((32.5+12)*4)-((1*2*2)+(1.5*2.3*2)+(1*2.3))</f>
        <v>164.8</v>
      </c>
      <c r="E172" s="400">
        <v>4500</v>
      </c>
      <c r="F172" s="401">
        <f t="shared" si="6"/>
        <v>741600</v>
      </c>
      <c r="I172" s="241"/>
      <c r="J172" s="241"/>
    </row>
    <row r="173" spans="1:13" s="240" customFormat="1" ht="13.5" x14ac:dyDescent="0.2">
      <c r="A173" s="233" t="s">
        <v>748</v>
      </c>
      <c r="B173" s="398" t="s">
        <v>749</v>
      </c>
      <c r="C173" s="403" t="s">
        <v>401</v>
      </c>
      <c r="D173" s="420">
        <f>(((1*2*2)+(1.5*2.3*2)+(1*2.3)))*2</f>
        <v>26.4</v>
      </c>
      <c r="E173" s="400">
        <v>2500</v>
      </c>
      <c r="F173" s="401">
        <f t="shared" si="6"/>
        <v>66000</v>
      </c>
      <c r="I173" s="241"/>
      <c r="J173" s="241"/>
    </row>
    <row r="174" spans="1:13" s="240" customFormat="1" ht="12" x14ac:dyDescent="0.2">
      <c r="A174" s="233" t="s">
        <v>750</v>
      </c>
      <c r="B174" s="398" t="s">
        <v>751</v>
      </c>
      <c r="C174" s="232" t="s">
        <v>11</v>
      </c>
      <c r="D174" s="399">
        <f>6.9*5</f>
        <v>34.5</v>
      </c>
      <c r="E174" s="400">
        <v>9200</v>
      </c>
      <c r="F174" s="401">
        <f t="shared" si="6"/>
        <v>317400</v>
      </c>
      <c r="I174" s="241"/>
      <c r="J174" s="241"/>
    </row>
    <row r="175" spans="1:13" s="240" customFormat="1" ht="12" x14ac:dyDescent="0.2">
      <c r="A175" s="233" t="s">
        <v>752</v>
      </c>
      <c r="B175" s="398" t="s">
        <v>753</v>
      </c>
      <c r="C175" s="232" t="s">
        <v>11</v>
      </c>
      <c r="D175" s="399">
        <f>11.5*4</f>
        <v>46</v>
      </c>
      <c r="E175" s="400">
        <v>6400</v>
      </c>
      <c r="F175" s="401">
        <f t="shared" si="6"/>
        <v>294400</v>
      </c>
      <c r="I175" s="241"/>
      <c r="J175" s="241"/>
    </row>
    <row r="176" spans="1:13" s="240" customFormat="1" ht="12" x14ac:dyDescent="0.2">
      <c r="A176" s="233" t="s">
        <v>754</v>
      </c>
      <c r="B176" s="398" t="s">
        <v>525</v>
      </c>
      <c r="C176" s="403" t="s">
        <v>11</v>
      </c>
      <c r="D176" s="420">
        <f>4.3*2</f>
        <v>8.6</v>
      </c>
      <c r="E176" s="400">
        <v>145000</v>
      </c>
      <c r="F176" s="401">
        <f t="shared" si="6"/>
        <v>1247000</v>
      </c>
      <c r="I176" s="241"/>
      <c r="J176" s="241"/>
    </row>
    <row r="177" spans="1:10" s="240" customFormat="1" ht="12" x14ac:dyDescent="0.2">
      <c r="A177" s="233" t="s">
        <v>755</v>
      </c>
      <c r="B177" s="398" t="s">
        <v>756</v>
      </c>
      <c r="C177" s="403" t="s">
        <v>519</v>
      </c>
      <c r="D177" s="420">
        <v>2</v>
      </c>
      <c r="E177" s="400">
        <v>13650000</v>
      </c>
      <c r="F177" s="401">
        <f t="shared" si="6"/>
        <v>27300000</v>
      </c>
      <c r="I177" s="241"/>
      <c r="J177" s="241"/>
    </row>
    <row r="178" spans="1:10" s="240" customFormat="1" ht="13.5" x14ac:dyDescent="0.2">
      <c r="A178" s="233" t="s">
        <v>757</v>
      </c>
      <c r="B178" s="398" t="s">
        <v>758</v>
      </c>
      <c r="C178" s="403" t="s">
        <v>401</v>
      </c>
      <c r="D178" s="420">
        <f>11.5*7</f>
        <v>80.5</v>
      </c>
      <c r="E178" s="400">
        <v>15000</v>
      </c>
      <c r="F178" s="401">
        <f t="shared" si="6"/>
        <v>1207500</v>
      </c>
      <c r="I178" s="241"/>
      <c r="J178" s="241"/>
    </row>
    <row r="179" spans="1:10" s="240" customFormat="1" ht="12" x14ac:dyDescent="0.2">
      <c r="A179" s="233" t="s">
        <v>759</v>
      </c>
      <c r="B179" s="398" t="s">
        <v>760</v>
      </c>
      <c r="C179" s="403" t="s">
        <v>11</v>
      </c>
      <c r="D179" s="420">
        <f>11.5</f>
        <v>11.5</v>
      </c>
      <c r="E179" s="400">
        <v>8500</v>
      </c>
      <c r="F179" s="401">
        <f t="shared" si="6"/>
        <v>97750</v>
      </c>
      <c r="I179" s="241"/>
      <c r="J179" s="241"/>
    </row>
    <row r="180" spans="1:10" s="240" customFormat="1" ht="12" x14ac:dyDescent="0.2">
      <c r="A180" s="233" t="s">
        <v>761</v>
      </c>
      <c r="B180" s="398" t="s">
        <v>762</v>
      </c>
      <c r="C180" s="232" t="s">
        <v>11</v>
      </c>
      <c r="D180" s="420">
        <f>(11.5+7)*2</f>
        <v>37</v>
      </c>
      <c r="E180" s="400">
        <v>5500</v>
      </c>
      <c r="F180" s="401">
        <f>D180*E180</f>
        <v>203500</v>
      </c>
      <c r="G180" s="494"/>
      <c r="H180" s="494"/>
      <c r="I180" s="241"/>
      <c r="J180" s="241"/>
    </row>
    <row r="181" spans="1:10" s="240" customFormat="1" ht="12" x14ac:dyDescent="0.2">
      <c r="A181" s="233" t="s">
        <v>763</v>
      </c>
      <c r="B181" s="398" t="s">
        <v>764</v>
      </c>
      <c r="C181" s="403" t="s">
        <v>11</v>
      </c>
      <c r="D181" s="420">
        <f>4*12</f>
        <v>48</v>
      </c>
      <c r="E181" s="400">
        <v>9400</v>
      </c>
      <c r="F181" s="401">
        <f t="shared" si="6"/>
        <v>451200</v>
      </c>
      <c r="I181" s="241"/>
      <c r="J181" s="241"/>
    </row>
    <row r="182" spans="1:10" s="240" customFormat="1" ht="12" x14ac:dyDescent="0.2">
      <c r="A182" s="233" t="s">
        <v>765</v>
      </c>
      <c r="B182" s="398" t="s">
        <v>766</v>
      </c>
      <c r="C182" s="403" t="s">
        <v>519</v>
      </c>
      <c r="D182" s="420">
        <v>2</v>
      </c>
      <c r="E182" s="400">
        <f>(1.5*2.3)*70000</f>
        <v>241499.99999999997</v>
      </c>
      <c r="F182" s="401">
        <f t="shared" si="6"/>
        <v>482999.99999999994</v>
      </c>
      <c r="I182" s="241"/>
      <c r="J182" s="241"/>
    </row>
    <row r="183" spans="1:10" s="240" customFormat="1" ht="12" x14ac:dyDescent="0.2">
      <c r="A183" s="233" t="s">
        <v>767</v>
      </c>
      <c r="B183" s="398" t="s">
        <v>768</v>
      </c>
      <c r="C183" s="403" t="s">
        <v>519</v>
      </c>
      <c r="D183" s="420">
        <v>2</v>
      </c>
      <c r="E183" s="400">
        <f>(1*2)*70000</f>
        <v>140000</v>
      </c>
      <c r="F183" s="401">
        <f t="shared" si="6"/>
        <v>280000</v>
      </c>
      <c r="I183" s="241"/>
      <c r="J183" s="241"/>
    </row>
    <row r="184" spans="1:10" s="240" customFormat="1" ht="14.25" thickBot="1" x14ac:dyDescent="0.25">
      <c r="A184" s="233" t="s">
        <v>769</v>
      </c>
      <c r="B184" s="398" t="s">
        <v>770</v>
      </c>
      <c r="C184" s="403" t="s">
        <v>401</v>
      </c>
      <c r="D184" s="420">
        <f>7.8*1.8</f>
        <v>14.04</v>
      </c>
      <c r="E184" s="445">
        <v>30000</v>
      </c>
      <c r="F184" s="401">
        <f t="shared" si="6"/>
        <v>421200</v>
      </c>
      <c r="I184" s="241"/>
      <c r="J184" s="241"/>
    </row>
    <row r="185" spans="1:10" ht="18.75" x14ac:dyDescent="0.3">
      <c r="A185" s="233"/>
      <c r="B185" s="905" t="s">
        <v>771</v>
      </c>
      <c r="C185" s="905"/>
      <c r="D185" s="905"/>
      <c r="E185" s="905"/>
      <c r="F185" s="906"/>
    </row>
    <row r="186" spans="1:10" s="1" customFormat="1" ht="15.75" x14ac:dyDescent="0.25">
      <c r="A186" s="233" t="s">
        <v>772</v>
      </c>
      <c r="B186" s="16" t="s">
        <v>595</v>
      </c>
      <c r="C186" s="16" t="s">
        <v>596</v>
      </c>
      <c r="D186" s="16">
        <v>38</v>
      </c>
      <c r="E186" s="115">
        <v>215000</v>
      </c>
      <c r="F186" s="495">
        <f>D186*E186</f>
        <v>8170000</v>
      </c>
    </row>
    <row r="187" spans="1:10" s="1" customFormat="1" ht="18.75" customHeight="1" x14ac:dyDescent="0.25">
      <c r="A187" s="233" t="s">
        <v>773</v>
      </c>
      <c r="B187" s="15" t="s">
        <v>597</v>
      </c>
      <c r="C187" s="16" t="s">
        <v>598</v>
      </c>
      <c r="D187" s="16">
        <v>141</v>
      </c>
      <c r="E187" s="115">
        <v>150204</v>
      </c>
      <c r="F187" s="495">
        <f t="shared" ref="F187:F201" si="7">D187*E187</f>
        <v>21178764</v>
      </c>
    </row>
    <row r="188" spans="1:10" s="1" customFormat="1" ht="18.75" customHeight="1" x14ac:dyDescent="0.25">
      <c r="A188" s="233" t="s">
        <v>774</v>
      </c>
      <c r="B188" s="15" t="s">
        <v>599</v>
      </c>
      <c r="C188" s="16" t="s">
        <v>598</v>
      </c>
      <c r="D188" s="16">
        <v>43</v>
      </c>
      <c r="E188" s="115">
        <v>93642</v>
      </c>
      <c r="F188" s="495">
        <f t="shared" si="7"/>
        <v>4026606</v>
      </c>
    </row>
    <row r="189" spans="1:10" s="1" customFormat="1" ht="18" customHeight="1" x14ac:dyDescent="0.25">
      <c r="A189" s="233" t="s">
        <v>775</v>
      </c>
      <c r="B189" s="15" t="s">
        <v>600</v>
      </c>
      <c r="C189" s="16" t="s">
        <v>350</v>
      </c>
      <c r="D189" s="16">
        <v>7200</v>
      </c>
      <c r="E189" s="115">
        <v>2000</v>
      </c>
      <c r="F189" s="495">
        <f t="shared" si="7"/>
        <v>14400000</v>
      </c>
    </row>
    <row r="190" spans="1:10" s="1" customFormat="1" ht="16.5" customHeight="1" x14ac:dyDescent="0.25">
      <c r="A190" s="233" t="s">
        <v>776</v>
      </c>
      <c r="B190" s="15" t="s">
        <v>601</v>
      </c>
      <c r="C190" s="16" t="s">
        <v>596</v>
      </c>
      <c r="D190" s="16">
        <v>9</v>
      </c>
      <c r="E190" s="115">
        <v>121000</v>
      </c>
      <c r="F190" s="495">
        <f t="shared" si="7"/>
        <v>1089000</v>
      </c>
    </row>
    <row r="191" spans="1:10" s="1" customFormat="1" ht="15.75" customHeight="1" x14ac:dyDescent="0.25">
      <c r="A191" s="233" t="s">
        <v>777</v>
      </c>
      <c r="B191" s="15" t="s">
        <v>602</v>
      </c>
      <c r="C191" s="16" t="s">
        <v>596</v>
      </c>
      <c r="D191" s="16">
        <v>9</v>
      </c>
      <c r="E191" s="115">
        <v>95000</v>
      </c>
      <c r="F191" s="495">
        <f t="shared" si="7"/>
        <v>855000</v>
      </c>
    </row>
    <row r="192" spans="1:10" s="1" customFormat="1" ht="12.75" customHeight="1" x14ac:dyDescent="0.25">
      <c r="A192" s="233" t="s">
        <v>778</v>
      </c>
      <c r="B192" s="15" t="s">
        <v>779</v>
      </c>
      <c r="C192" s="16" t="s">
        <v>596</v>
      </c>
      <c r="D192" s="16">
        <v>1</v>
      </c>
      <c r="E192" s="115">
        <v>25000000</v>
      </c>
      <c r="F192" s="495">
        <f t="shared" si="7"/>
        <v>25000000</v>
      </c>
    </row>
    <row r="193" spans="1:10" s="1" customFormat="1" ht="15.75" x14ac:dyDescent="0.25">
      <c r="A193" s="233" t="s">
        <v>780</v>
      </c>
      <c r="B193" s="16" t="s">
        <v>603</v>
      </c>
      <c r="C193" s="16" t="s">
        <v>596</v>
      </c>
      <c r="D193" s="16">
        <v>5</v>
      </c>
      <c r="E193" s="115">
        <v>166000</v>
      </c>
      <c r="F193" s="495">
        <f t="shared" si="7"/>
        <v>830000</v>
      </c>
    </row>
    <row r="194" spans="1:10" s="1" customFormat="1" ht="17.25" customHeight="1" x14ac:dyDescent="0.25">
      <c r="A194" s="233" t="s">
        <v>781</v>
      </c>
      <c r="B194" s="15" t="s">
        <v>782</v>
      </c>
      <c r="C194" s="16" t="s">
        <v>596</v>
      </c>
      <c r="D194" s="16">
        <v>1</v>
      </c>
      <c r="E194" s="115">
        <v>3000000</v>
      </c>
      <c r="F194" s="495">
        <f t="shared" si="7"/>
        <v>3000000</v>
      </c>
    </row>
    <row r="195" spans="1:10" s="1" customFormat="1" ht="18" customHeight="1" x14ac:dyDescent="0.25">
      <c r="A195" s="233" t="s">
        <v>783</v>
      </c>
      <c r="B195" s="15" t="s">
        <v>604</v>
      </c>
      <c r="C195" s="16" t="s">
        <v>350</v>
      </c>
      <c r="D195" s="16">
        <v>40</v>
      </c>
      <c r="E195" s="115">
        <v>15000</v>
      </c>
      <c r="F195" s="495">
        <f t="shared" si="7"/>
        <v>600000</v>
      </c>
    </row>
    <row r="196" spans="1:10" s="1" customFormat="1" ht="15" customHeight="1" x14ac:dyDescent="0.25">
      <c r="A196" s="233" t="s">
        <v>784</v>
      </c>
      <c r="B196" s="15" t="s">
        <v>605</v>
      </c>
      <c r="C196" s="16" t="s">
        <v>350</v>
      </c>
      <c r="D196" s="16">
        <v>1000</v>
      </c>
      <c r="E196" s="115">
        <v>850</v>
      </c>
      <c r="F196" s="495">
        <f t="shared" si="7"/>
        <v>850000</v>
      </c>
    </row>
    <row r="197" spans="1:10" s="1" customFormat="1" ht="19.5" customHeight="1" x14ac:dyDescent="0.25">
      <c r="A197" s="233" t="s">
        <v>785</v>
      </c>
      <c r="B197" s="15" t="s">
        <v>606</v>
      </c>
      <c r="C197" s="16" t="s">
        <v>598</v>
      </c>
      <c r="D197" s="16">
        <v>1</v>
      </c>
      <c r="E197" s="115">
        <v>150000</v>
      </c>
      <c r="F197" s="495">
        <f t="shared" si="7"/>
        <v>150000</v>
      </c>
    </row>
    <row r="198" spans="1:10" s="1" customFormat="1" ht="12.75" customHeight="1" x14ac:dyDescent="0.25">
      <c r="A198" s="233" t="s">
        <v>786</v>
      </c>
      <c r="B198" s="15" t="s">
        <v>787</v>
      </c>
      <c r="C198" s="16" t="s">
        <v>596</v>
      </c>
      <c r="D198" s="16">
        <v>15</v>
      </c>
      <c r="E198" s="115">
        <v>2500</v>
      </c>
      <c r="F198" s="495">
        <f t="shared" si="7"/>
        <v>37500</v>
      </c>
    </row>
    <row r="199" spans="1:10" s="1" customFormat="1" ht="12" customHeight="1" x14ac:dyDescent="0.25">
      <c r="A199" s="233" t="s">
        <v>788</v>
      </c>
      <c r="B199" s="15" t="s">
        <v>789</v>
      </c>
      <c r="C199" s="16" t="s">
        <v>596</v>
      </c>
      <c r="D199" s="16">
        <v>20</v>
      </c>
      <c r="E199" s="115">
        <v>3000</v>
      </c>
      <c r="F199" s="495">
        <f t="shared" si="7"/>
        <v>60000</v>
      </c>
    </row>
    <row r="200" spans="1:10" s="1" customFormat="1" ht="15.75" x14ac:dyDescent="0.25">
      <c r="A200" s="233" t="s">
        <v>790</v>
      </c>
      <c r="B200" s="15" t="s">
        <v>607</v>
      </c>
      <c r="C200" s="16" t="s">
        <v>608</v>
      </c>
      <c r="D200" s="16">
        <v>8</v>
      </c>
      <c r="E200" s="115">
        <v>80000</v>
      </c>
      <c r="F200" s="495">
        <f t="shared" si="7"/>
        <v>640000</v>
      </c>
    </row>
    <row r="201" spans="1:10" s="1" customFormat="1" ht="16.5" customHeight="1" x14ac:dyDescent="0.25">
      <c r="A201" s="233" t="s">
        <v>791</v>
      </c>
      <c r="B201" s="15" t="s">
        <v>609</v>
      </c>
      <c r="C201" s="16" t="s">
        <v>598</v>
      </c>
      <c r="D201" s="16">
        <v>15</v>
      </c>
      <c r="E201" s="115">
        <v>30000</v>
      </c>
      <c r="F201" s="495">
        <f t="shared" si="7"/>
        <v>450000</v>
      </c>
    </row>
    <row r="202" spans="1:10" s="240" customFormat="1" ht="12" x14ac:dyDescent="0.2">
      <c r="A202" s="233"/>
      <c r="B202" s="486"/>
      <c r="C202" s="487"/>
      <c r="D202" s="488"/>
      <c r="E202" s="489"/>
      <c r="F202" s="490"/>
      <c r="I202" s="241"/>
      <c r="J202" s="241"/>
    </row>
    <row r="203" spans="1:10" s="240" customFormat="1" ht="12" x14ac:dyDescent="0.2">
      <c r="A203" s="451"/>
      <c r="B203" s="388" t="s">
        <v>792</v>
      </c>
      <c r="C203" s="474"/>
      <c r="D203" s="475"/>
      <c r="E203" s="476"/>
      <c r="F203" s="496">
        <f>SUM(F159:F201)</f>
        <v>126035576.25</v>
      </c>
      <c r="I203" s="241"/>
      <c r="J203" s="241"/>
    </row>
    <row r="204" spans="1:10" s="240" customFormat="1" ht="12" x14ac:dyDescent="0.2">
      <c r="A204" s="188"/>
      <c r="B204" s="486"/>
      <c r="C204" s="487"/>
      <c r="D204" s="488"/>
      <c r="E204" s="489"/>
      <c r="F204" s="497"/>
      <c r="I204" s="248"/>
      <c r="J204" s="248"/>
    </row>
    <row r="205" spans="1:10" s="240" customFormat="1" ht="12" x14ac:dyDescent="0.2">
      <c r="A205" s="498"/>
      <c r="B205" s="499" t="s">
        <v>793</v>
      </c>
      <c r="C205" s="500"/>
      <c r="D205" s="501"/>
      <c r="E205" s="502"/>
      <c r="F205" s="503">
        <f>F203+F155+F125+F94+F46</f>
        <v>381641001.63</v>
      </c>
      <c r="I205" s="248"/>
      <c r="J205" s="248"/>
    </row>
    <row r="206" spans="1:10" s="240" customFormat="1" ht="12" x14ac:dyDescent="0.2">
      <c r="A206" s="188"/>
      <c r="B206" s="486"/>
      <c r="C206" s="487"/>
      <c r="D206" s="488"/>
      <c r="E206" s="489"/>
      <c r="F206" s="497"/>
      <c r="I206" s="248"/>
      <c r="J206" s="248"/>
    </row>
  </sheetData>
  <mergeCells count="5">
    <mergeCell ref="B1:F1"/>
    <mergeCell ref="B3:F3"/>
    <mergeCell ref="B49:F49"/>
    <mergeCell ref="B90:F90"/>
    <mergeCell ref="B185:F18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Q159"/>
  <sheetViews>
    <sheetView tabSelected="1" topLeftCell="A73" zoomScale="90" zoomScaleNormal="90" workbookViewId="0">
      <selection activeCell="J80" sqref="J80"/>
    </sheetView>
  </sheetViews>
  <sheetFormatPr defaultColWidth="8.85546875" defaultRowHeight="15.75" x14ac:dyDescent="0.25"/>
  <cols>
    <col min="1" max="1" width="8.28515625" style="1" bestFit="1" customWidth="1"/>
    <col min="2" max="2" width="66.5703125" style="1" customWidth="1"/>
    <col min="3" max="3" width="14.7109375" style="1" customWidth="1"/>
    <col min="4" max="4" width="12.7109375" style="1" bestFit="1" customWidth="1"/>
    <col min="5" max="5" width="13.7109375" style="2" customWidth="1"/>
    <col min="6" max="6" width="24.5703125" style="1" bestFit="1" customWidth="1"/>
    <col min="7" max="7" width="17.42578125" style="1" customWidth="1"/>
    <col min="8" max="8" width="8.85546875" style="1"/>
    <col min="9" max="9" width="10.5703125" style="1" bestFit="1" customWidth="1"/>
    <col min="10" max="10" width="8.85546875" style="1"/>
    <col min="11" max="11" width="15.28515625" style="1" customWidth="1"/>
    <col min="12" max="12" width="8.85546875" style="1"/>
    <col min="13" max="13" width="16.28515625" style="1" customWidth="1"/>
    <col min="14" max="16384" width="8.85546875" style="1"/>
  </cols>
  <sheetData>
    <row r="1" spans="1:7" s="572" customFormat="1" ht="14.25" x14ac:dyDescent="0.25">
      <c r="A1" s="568"/>
      <c r="B1" s="569"/>
      <c r="C1" s="568"/>
      <c r="D1" s="570"/>
      <c r="E1" s="571"/>
      <c r="F1" s="571"/>
    </row>
    <row r="2" spans="1:7" s="572" customFormat="1" ht="15" x14ac:dyDescent="0.25">
      <c r="A2" s="573"/>
      <c r="B2" s="574"/>
      <c r="C2" s="575"/>
      <c r="D2" s="576"/>
      <c r="E2" s="577"/>
      <c r="F2" s="577"/>
    </row>
    <row r="3" spans="1:7" s="572" customFormat="1" ht="15" thickBot="1" x14ac:dyDescent="0.3">
      <c r="A3" s="573"/>
      <c r="B3" s="578"/>
      <c r="C3" s="575"/>
      <c r="D3" s="576"/>
      <c r="E3" s="577"/>
      <c r="F3" s="743"/>
      <c r="G3" s="732"/>
    </row>
    <row r="4" spans="1:7" s="572" customFormat="1" ht="15" x14ac:dyDescent="0.25">
      <c r="A4" s="579"/>
      <c r="B4" s="580" t="s">
        <v>945</v>
      </c>
      <c r="C4" s="581"/>
      <c r="D4" s="582"/>
      <c r="E4" s="583"/>
      <c r="F4" s="577"/>
      <c r="G4" s="741"/>
    </row>
    <row r="5" spans="1:7" s="572" customFormat="1" ht="14.25" x14ac:dyDescent="0.25">
      <c r="A5" s="573"/>
      <c r="B5" s="578"/>
      <c r="C5" s="575"/>
      <c r="D5" s="576"/>
      <c r="E5" s="577"/>
      <c r="F5" s="577"/>
      <c r="G5" s="742"/>
    </row>
    <row r="6" spans="1:7" s="572" customFormat="1" ht="14.25" x14ac:dyDescent="0.25">
      <c r="A6" s="573">
        <v>1</v>
      </c>
      <c r="B6" s="586" t="s">
        <v>946</v>
      </c>
      <c r="C6" s="575"/>
      <c r="D6" s="576"/>
      <c r="E6" s="577"/>
      <c r="F6" s="577"/>
      <c r="G6" s="742"/>
    </row>
    <row r="7" spans="1:7" s="572" customFormat="1" ht="14.25" x14ac:dyDescent="0.25">
      <c r="A7" s="573"/>
      <c r="B7" s="578"/>
      <c r="C7" s="575"/>
      <c r="D7" s="576"/>
      <c r="E7" s="577"/>
      <c r="F7" s="577"/>
      <c r="G7" s="742"/>
    </row>
    <row r="8" spans="1:7" s="572" customFormat="1" ht="14.25" x14ac:dyDescent="0.25">
      <c r="A8" s="573">
        <v>2</v>
      </c>
      <c r="B8" s="578" t="s">
        <v>947</v>
      </c>
      <c r="C8" s="575"/>
      <c r="D8" s="576"/>
      <c r="E8" s="577"/>
      <c r="F8" s="577"/>
      <c r="G8" s="742"/>
    </row>
    <row r="9" spans="1:7" s="572" customFormat="1" ht="14.25" x14ac:dyDescent="0.25">
      <c r="A9" s="573"/>
      <c r="B9" s="578"/>
      <c r="C9" s="575"/>
      <c r="D9" s="576"/>
      <c r="E9" s="577"/>
      <c r="F9" s="577"/>
      <c r="G9" s="742"/>
    </row>
    <row r="10" spans="1:7" s="572" customFormat="1" ht="14.25" x14ac:dyDescent="0.25">
      <c r="A10" s="573">
        <v>3</v>
      </c>
      <c r="B10" s="578" t="s">
        <v>1</v>
      </c>
      <c r="C10" s="575"/>
      <c r="D10" s="576"/>
      <c r="E10" s="577"/>
      <c r="F10" s="577"/>
      <c r="G10" s="742"/>
    </row>
    <row r="11" spans="1:7" s="572" customFormat="1" ht="14.25" x14ac:dyDescent="0.25">
      <c r="A11" s="573"/>
      <c r="B11" s="578"/>
      <c r="C11" s="575"/>
      <c r="D11" s="576"/>
      <c r="E11" s="577"/>
      <c r="F11" s="577"/>
      <c r="G11" s="742"/>
    </row>
    <row r="12" spans="1:7" s="724" customFormat="1" ht="39" customHeight="1" x14ac:dyDescent="0.3">
      <c r="A12" s="720"/>
      <c r="B12" s="890" t="s">
        <v>1211</v>
      </c>
      <c r="C12" s="891"/>
      <c r="D12" s="886" t="s">
        <v>1210</v>
      </c>
      <c r="E12" s="886"/>
      <c r="F12" s="886"/>
      <c r="G12" s="887"/>
    </row>
    <row r="13" spans="1:7" s="731" customFormat="1" ht="19.5" x14ac:dyDescent="0.3">
      <c r="A13" s="725"/>
      <c r="B13" s="892" t="s">
        <v>1212</v>
      </c>
      <c r="C13" s="893"/>
      <c r="D13" s="886"/>
      <c r="E13" s="886"/>
      <c r="F13" s="886"/>
      <c r="G13" s="887"/>
    </row>
    <row r="14" spans="1:7" s="724" customFormat="1" ht="19.5" x14ac:dyDescent="0.3">
      <c r="A14" s="720"/>
      <c r="B14" s="890" t="s">
        <v>1213</v>
      </c>
      <c r="C14" s="891"/>
      <c r="D14" s="886"/>
      <c r="E14" s="886"/>
      <c r="F14" s="886"/>
      <c r="G14" s="887"/>
    </row>
    <row r="15" spans="1:7" ht="16.5" thickBot="1" x14ac:dyDescent="0.3">
      <c r="A15" s="3"/>
      <c r="B15" s="8"/>
      <c r="C15" s="5"/>
      <c r="D15" s="886"/>
      <c r="E15" s="886"/>
      <c r="F15" s="886"/>
      <c r="G15" s="887"/>
    </row>
    <row r="16" spans="1:7" x14ac:dyDescent="0.25">
      <c r="A16" s="848" t="s">
        <v>3</v>
      </c>
      <c r="B16" s="855" t="s">
        <v>4</v>
      </c>
      <c r="C16" s="855" t="s">
        <v>5</v>
      </c>
      <c r="D16" s="877" t="s">
        <v>6</v>
      </c>
      <c r="E16" s="877" t="s">
        <v>7</v>
      </c>
      <c r="F16" s="889" t="s">
        <v>1160</v>
      </c>
      <c r="G16" s="888" t="s">
        <v>1161</v>
      </c>
    </row>
    <row r="17" spans="1:7" ht="16.5" thickBot="1" x14ac:dyDescent="0.3">
      <c r="A17" s="849"/>
      <c r="B17" s="856"/>
      <c r="C17" s="856"/>
      <c r="D17" s="877"/>
      <c r="E17" s="877"/>
      <c r="F17" s="889"/>
      <c r="G17" s="888"/>
    </row>
    <row r="18" spans="1:7" x14ac:dyDescent="0.25">
      <c r="A18" s="10"/>
      <c r="B18" s="11"/>
      <c r="C18" s="11"/>
      <c r="D18" s="826"/>
      <c r="E18" s="765"/>
      <c r="F18" s="766"/>
      <c r="G18" s="827"/>
    </row>
    <row r="19" spans="1:7" s="572" customFormat="1" ht="15" x14ac:dyDescent="0.25">
      <c r="A19" s="587">
        <v>1</v>
      </c>
      <c r="B19" s="588" t="s">
        <v>946</v>
      </c>
      <c r="C19" s="589"/>
      <c r="D19" s="590"/>
      <c r="E19" s="591"/>
      <c r="F19" s="744"/>
      <c r="G19" s="742"/>
    </row>
    <row r="20" spans="1:7" s="572" customFormat="1" ht="128.25" x14ac:dyDescent="0.25">
      <c r="A20" s="593">
        <v>1.1000000000000001</v>
      </c>
      <c r="B20" s="594" t="s">
        <v>948</v>
      </c>
      <c r="C20" s="589" t="s">
        <v>190</v>
      </c>
      <c r="D20" s="595">
        <v>1</v>
      </c>
      <c r="E20" s="596"/>
      <c r="F20" s="745"/>
      <c r="G20" s="753"/>
    </row>
    <row r="21" spans="1:7" s="572" customFormat="1" ht="42.75" x14ac:dyDescent="0.25">
      <c r="A21" s="593">
        <v>1.2</v>
      </c>
      <c r="B21" s="594" t="s">
        <v>949</v>
      </c>
      <c r="C21" s="589" t="s">
        <v>9</v>
      </c>
      <c r="D21" s="598">
        <v>1.6</v>
      </c>
      <c r="E21" s="599"/>
      <c r="F21" s="733"/>
      <c r="G21" s="753"/>
    </row>
    <row r="22" spans="1:7" x14ac:dyDescent="0.25">
      <c r="A22" s="17"/>
      <c r="B22" s="18"/>
      <c r="D22" s="122"/>
      <c r="E22" s="123"/>
      <c r="F22" s="734"/>
      <c r="G22" s="753"/>
    </row>
    <row r="23" spans="1:7" ht="26.25" customHeight="1" thickBot="1" x14ac:dyDescent="0.3">
      <c r="A23" s="883" t="s">
        <v>1191</v>
      </c>
      <c r="B23" s="884"/>
      <c r="C23" s="884"/>
      <c r="D23" s="884"/>
      <c r="E23" s="885"/>
      <c r="F23" s="833">
        <f>SUM(F20:F21)</f>
        <v>0</v>
      </c>
      <c r="G23" s="832">
        <f>F23/1300</f>
        <v>0</v>
      </c>
    </row>
    <row r="24" spans="1:7" ht="16.5" thickTop="1" x14ac:dyDescent="0.25">
      <c r="G24" s="755"/>
    </row>
    <row r="25" spans="1:7" s="567" customFormat="1" ht="18.75" x14ac:dyDescent="0.3">
      <c r="A25" s="562">
        <v>2</v>
      </c>
      <c r="B25" s="563" t="s">
        <v>0</v>
      </c>
      <c r="C25" s="564"/>
      <c r="D25" s="564"/>
      <c r="E25" s="565"/>
      <c r="F25" s="735"/>
      <c r="G25" s="758"/>
    </row>
    <row r="26" spans="1:7" x14ac:dyDescent="0.25">
      <c r="A26" s="39"/>
      <c r="B26" s="40"/>
      <c r="C26" s="41"/>
      <c r="D26" s="42"/>
      <c r="E26" s="43"/>
      <c r="F26" s="736"/>
      <c r="G26" s="759"/>
    </row>
    <row r="27" spans="1:7" x14ac:dyDescent="0.25">
      <c r="A27" s="45"/>
      <c r="B27" s="46" t="s">
        <v>12</v>
      </c>
      <c r="C27" s="47"/>
      <c r="D27" s="48"/>
      <c r="E27" s="49"/>
      <c r="F27" s="737"/>
      <c r="G27" s="755"/>
    </row>
    <row r="28" spans="1:7" x14ac:dyDescent="0.25">
      <c r="A28" s="51"/>
      <c r="B28" s="52"/>
      <c r="C28" s="53"/>
      <c r="D28" s="54"/>
      <c r="E28" s="55"/>
      <c r="F28" s="227"/>
      <c r="G28" s="755"/>
    </row>
    <row r="29" spans="1:7" s="572" customFormat="1" ht="42.75" x14ac:dyDescent="0.25">
      <c r="A29" s="593">
        <v>2.1</v>
      </c>
      <c r="B29" s="600" t="s">
        <v>987</v>
      </c>
      <c r="C29" s="589"/>
      <c r="D29" s="609"/>
      <c r="E29" s="596"/>
      <c r="F29" s="733"/>
      <c r="G29" s="756"/>
    </row>
    <row r="30" spans="1:7" s="572" customFormat="1" ht="14.25" x14ac:dyDescent="0.25">
      <c r="A30" s="593"/>
      <c r="B30" s="600"/>
      <c r="C30" s="589"/>
      <c r="D30" s="609"/>
      <c r="E30" s="596"/>
      <c r="F30" s="733"/>
      <c r="G30" s="760"/>
    </row>
    <row r="31" spans="1:7" s="572" customFormat="1" ht="28.5" x14ac:dyDescent="0.25">
      <c r="A31" s="593">
        <v>2.2000000000000002</v>
      </c>
      <c r="B31" s="600" t="s">
        <v>988</v>
      </c>
      <c r="C31" s="589"/>
      <c r="D31" s="609"/>
      <c r="E31" s="596"/>
      <c r="F31" s="733"/>
      <c r="G31" s="756"/>
    </row>
    <row r="32" spans="1:7" s="572" customFormat="1" ht="14.25" x14ac:dyDescent="0.25">
      <c r="A32" s="610"/>
      <c r="B32" s="611"/>
      <c r="C32" s="612"/>
      <c r="D32" s="613"/>
      <c r="E32" s="614"/>
      <c r="F32" s="738"/>
      <c r="G32" s="753"/>
    </row>
    <row r="33" spans="1:433" s="2" customFormat="1" ht="31.5" x14ac:dyDescent="0.25">
      <c r="A33" s="63">
        <v>3.1</v>
      </c>
      <c r="B33" s="62" t="s">
        <v>989</v>
      </c>
      <c r="C33" s="22"/>
      <c r="D33" s="24"/>
      <c r="E33" s="24"/>
      <c r="F33" s="739"/>
      <c r="G33" s="76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row>
    <row r="34" spans="1:433" s="572" customFormat="1" ht="15" x14ac:dyDescent="0.25">
      <c r="A34" s="587"/>
      <c r="B34" s="588"/>
      <c r="C34" s="589"/>
      <c r="D34" s="590"/>
      <c r="E34" s="591"/>
      <c r="F34" s="740"/>
      <c r="G34" s="756"/>
    </row>
    <row r="35" spans="1:433" s="617" customFormat="1" ht="28.5" x14ac:dyDescent="0.25">
      <c r="A35" s="593" t="s">
        <v>75</v>
      </c>
      <c r="B35" s="605" t="s">
        <v>990</v>
      </c>
      <c r="C35" s="602" t="s">
        <v>71</v>
      </c>
      <c r="D35" s="616">
        <f>D37*1.2*0.6</f>
        <v>1142.2420502399998</v>
      </c>
      <c r="E35" s="599"/>
      <c r="F35" s="746"/>
      <c r="G35" s="754"/>
    </row>
    <row r="36" spans="1:433" s="572" customFormat="1" ht="57" x14ac:dyDescent="0.25">
      <c r="A36" s="593" t="s">
        <v>76</v>
      </c>
      <c r="B36" s="605" t="s">
        <v>991</v>
      </c>
      <c r="C36" s="602" t="s">
        <v>70</v>
      </c>
      <c r="D36" s="634">
        <f>D37/100</f>
        <v>15.864472919999999</v>
      </c>
      <c r="E36" s="599"/>
      <c r="F36" s="746"/>
      <c r="G36" s="754"/>
    </row>
    <row r="37" spans="1:433" s="572" customFormat="1" ht="26.45" customHeight="1" x14ac:dyDescent="0.25">
      <c r="A37" s="593" t="s">
        <v>77</v>
      </c>
      <c r="B37" s="618" t="s">
        <v>992</v>
      </c>
      <c r="C37" s="602" t="s">
        <v>11</v>
      </c>
      <c r="D37" s="634">
        <f>SUBTOTAL(9,D42:D44)</f>
        <v>1586.4472919999998</v>
      </c>
      <c r="E37" s="619"/>
      <c r="F37" s="746"/>
      <c r="G37" s="754"/>
      <c r="K37" s="754"/>
    </row>
    <row r="38" spans="1:433" s="2" customFormat="1" x14ac:dyDescent="0.25">
      <c r="A38" s="828"/>
      <c r="B38" s="880" t="s">
        <v>1192</v>
      </c>
      <c r="C38" s="881"/>
      <c r="D38" s="881"/>
      <c r="E38" s="882"/>
      <c r="F38" s="829">
        <f>SUM(F35:F37)</f>
        <v>0</v>
      </c>
      <c r="G38" s="830">
        <f>F38/1300</f>
        <v>0</v>
      </c>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row>
    <row r="39" spans="1:433" s="2" customFormat="1" x14ac:dyDescent="0.25">
      <c r="A39" s="58"/>
      <c r="B39" s="59"/>
      <c r="C39" s="41"/>
      <c r="D39" s="128"/>
      <c r="E39" s="128"/>
      <c r="F39" s="748"/>
      <c r="G39" s="754"/>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row>
    <row r="40" spans="1:433" s="2" customFormat="1" x14ac:dyDescent="0.25">
      <c r="A40" s="63">
        <v>2.2000000000000002</v>
      </c>
      <c r="B40" s="62" t="s">
        <v>993</v>
      </c>
      <c r="C40" s="22"/>
      <c r="D40" s="24"/>
      <c r="E40" s="24"/>
      <c r="F40" s="749"/>
      <c r="G40" s="762"/>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row>
    <row r="41" spans="1:433" s="511" customFormat="1" x14ac:dyDescent="0.25">
      <c r="A41" s="31" t="s">
        <v>118</v>
      </c>
      <c r="B41" s="26" t="s">
        <v>970</v>
      </c>
      <c r="C41" s="33" t="s">
        <v>11</v>
      </c>
      <c r="D41" s="634">
        <v>217.2</v>
      </c>
      <c r="E41" s="186"/>
      <c r="F41" s="750"/>
      <c r="G41" s="767"/>
    </row>
    <row r="42" spans="1:433" s="511" customFormat="1" x14ac:dyDescent="0.25">
      <c r="A42" s="31" t="s">
        <v>118</v>
      </c>
      <c r="B42" s="26" t="s">
        <v>971</v>
      </c>
      <c r="C42" s="33" t="s">
        <v>11</v>
      </c>
      <c r="D42" s="634">
        <v>665.14729199999999</v>
      </c>
      <c r="E42" s="186"/>
      <c r="F42" s="750"/>
      <c r="G42" s="754"/>
    </row>
    <row r="43" spans="1:433" s="511" customFormat="1" x14ac:dyDescent="0.25">
      <c r="A43" s="31" t="s">
        <v>119</v>
      </c>
      <c r="B43" s="26" t="s">
        <v>972</v>
      </c>
      <c r="C43" s="33" t="s">
        <v>11</v>
      </c>
      <c r="D43" s="634">
        <v>615.9</v>
      </c>
      <c r="E43" s="186"/>
      <c r="F43" s="750"/>
      <c r="G43" s="754"/>
    </row>
    <row r="44" spans="1:433" s="511" customFormat="1" x14ac:dyDescent="0.25">
      <c r="A44" s="31" t="s">
        <v>120</v>
      </c>
      <c r="B44" s="26" t="s">
        <v>973</v>
      </c>
      <c r="C44" s="33" t="s">
        <v>11</v>
      </c>
      <c r="D44" s="634">
        <v>305.39999999999998</v>
      </c>
      <c r="E44" s="186"/>
      <c r="F44" s="750"/>
      <c r="G44" s="754"/>
    </row>
    <row r="45" spans="1:433" s="104" customFormat="1" x14ac:dyDescent="0.25">
      <c r="A45" s="31" t="s">
        <v>121</v>
      </c>
      <c r="B45" s="26" t="s">
        <v>15</v>
      </c>
      <c r="C45" s="27" t="s">
        <v>11</v>
      </c>
      <c r="D45" s="29">
        <f>SUBTOTAL(9,D42:D44)</f>
        <v>1586.4472919999998</v>
      </c>
      <c r="E45" s="186"/>
      <c r="F45" s="750"/>
      <c r="G45" s="754"/>
    </row>
    <row r="46" spans="1:433" s="104" customFormat="1" x14ac:dyDescent="0.25">
      <c r="A46" s="31" t="s">
        <v>122</v>
      </c>
      <c r="B46" s="26" t="s">
        <v>192</v>
      </c>
      <c r="C46" s="27" t="s">
        <v>11</v>
      </c>
      <c r="D46" s="29">
        <f>SUBTOTAL(9,D42:D44)</f>
        <v>1586.4472919999998</v>
      </c>
      <c r="E46" s="186"/>
      <c r="F46" s="750"/>
      <c r="G46" s="754"/>
    </row>
    <row r="47" spans="1:433" s="2" customFormat="1" x14ac:dyDescent="0.25">
      <c r="A47" s="828"/>
      <c r="B47" s="880" t="s">
        <v>1193</v>
      </c>
      <c r="C47" s="881"/>
      <c r="D47" s="881"/>
      <c r="E47" s="882"/>
      <c r="F47" s="829">
        <f>SUM(F41:F46)</f>
        <v>0</v>
      </c>
      <c r="G47" s="831">
        <f t="shared" ref="G47" si="0">F47/1400</f>
        <v>0</v>
      </c>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row>
    <row r="48" spans="1:433" s="104" customFormat="1" x14ac:dyDescent="0.25">
      <c r="A48" s="71"/>
      <c r="B48" s="72"/>
      <c r="C48" s="9"/>
      <c r="D48" s="73"/>
      <c r="E48" s="74"/>
      <c r="F48" s="768"/>
      <c r="G48" s="769"/>
    </row>
    <row r="49" spans="1:28" s="567" customFormat="1" ht="18.75" x14ac:dyDescent="0.3">
      <c r="A49" s="562">
        <v>3</v>
      </c>
      <c r="B49" s="563" t="s">
        <v>1</v>
      </c>
      <c r="C49" s="564"/>
      <c r="D49" s="564"/>
      <c r="E49" s="565"/>
      <c r="F49" s="770"/>
      <c r="G49" s="771"/>
    </row>
    <row r="50" spans="1:28" s="36" customFormat="1" x14ac:dyDescent="0.25">
      <c r="A50" s="132"/>
      <c r="B50" s="81"/>
      <c r="C50" s="81"/>
      <c r="D50" s="81"/>
      <c r="E50" s="81"/>
      <c r="F50" s="772"/>
      <c r="G50" s="755"/>
      <c r="H50" s="1"/>
      <c r="I50" s="1"/>
      <c r="J50" s="1"/>
      <c r="K50" s="1"/>
      <c r="L50" s="1"/>
      <c r="M50" s="1"/>
      <c r="N50" s="1"/>
      <c r="O50" s="1"/>
      <c r="P50" s="1"/>
      <c r="Q50" s="1"/>
      <c r="R50" s="1"/>
      <c r="S50" s="1"/>
      <c r="T50" s="1"/>
      <c r="U50" s="1"/>
      <c r="V50" s="1"/>
      <c r="W50" s="1"/>
      <c r="X50" s="1"/>
      <c r="Y50" s="1"/>
      <c r="Z50" s="1"/>
      <c r="AA50" s="1"/>
      <c r="AB50" s="1"/>
    </row>
    <row r="51" spans="1:28" s="104" customFormat="1" x14ac:dyDescent="0.25">
      <c r="A51" s="367">
        <v>3.1</v>
      </c>
      <c r="B51" s="845" t="s">
        <v>1162</v>
      </c>
      <c r="C51" s="846"/>
      <c r="D51" s="846"/>
      <c r="E51" s="846"/>
      <c r="F51" s="878"/>
      <c r="G51" s="773"/>
    </row>
    <row r="52" spans="1:28" s="641" customFormat="1" ht="43.5" customHeight="1" x14ac:dyDescent="0.25">
      <c r="A52" s="655" t="s">
        <v>1086</v>
      </c>
      <c r="B52" s="655" t="s">
        <v>1163</v>
      </c>
      <c r="C52" s="93"/>
      <c r="D52" s="93"/>
      <c r="E52" s="654"/>
      <c r="F52" s="774"/>
      <c r="G52" s="775"/>
      <c r="H52" s="643"/>
    </row>
    <row r="53" spans="1:28" s="641" customFormat="1" x14ac:dyDescent="0.25">
      <c r="A53" s="664"/>
      <c r="B53" s="663"/>
      <c r="C53" s="664"/>
      <c r="D53" s="665"/>
      <c r="E53" s="666"/>
      <c r="F53" s="792"/>
      <c r="G53" s="793"/>
      <c r="J53" s="778"/>
    </row>
    <row r="54" spans="1:28" s="641" customFormat="1" x14ac:dyDescent="0.25">
      <c r="A54" s="783" t="s">
        <v>1087</v>
      </c>
      <c r="B54" s="783" t="s">
        <v>265</v>
      </c>
      <c r="C54" s="840" t="s">
        <v>71</v>
      </c>
      <c r="D54" s="785">
        <v>211.95000000000002</v>
      </c>
      <c r="E54" s="786"/>
      <c r="F54" s="788"/>
      <c r="G54" s="753"/>
      <c r="H54" s="643"/>
      <c r="I54" s="778"/>
    </row>
    <row r="55" spans="1:28" s="641" customFormat="1" x14ac:dyDescent="0.25">
      <c r="A55" s="783" t="s">
        <v>1088</v>
      </c>
      <c r="B55" s="783" t="s">
        <v>266</v>
      </c>
      <c r="C55" s="840" t="s">
        <v>71</v>
      </c>
      <c r="D55" s="791">
        <v>32.031140000000001</v>
      </c>
      <c r="E55" s="786"/>
      <c r="F55" s="788"/>
      <c r="G55" s="753"/>
      <c r="H55" s="643"/>
    </row>
    <row r="56" spans="1:28" s="641" customFormat="1" x14ac:dyDescent="0.25">
      <c r="A56" s="783" t="s">
        <v>1089</v>
      </c>
      <c r="B56" s="783" t="s">
        <v>267</v>
      </c>
      <c r="C56" s="840" t="s">
        <v>71</v>
      </c>
      <c r="D56" s="791">
        <v>4.0038925000000001</v>
      </c>
      <c r="E56" s="786"/>
      <c r="F56" s="788"/>
      <c r="G56" s="753"/>
      <c r="H56" s="643"/>
      <c r="I56" s="778"/>
    </row>
    <row r="57" spans="1:28" s="641" customFormat="1" x14ac:dyDescent="0.25">
      <c r="A57" s="783" t="s">
        <v>1090</v>
      </c>
      <c r="B57" s="783" t="s">
        <v>1164</v>
      </c>
      <c r="C57" s="840" t="s">
        <v>71</v>
      </c>
      <c r="D57" s="791">
        <v>23.388446999999999</v>
      </c>
      <c r="E57" s="786"/>
      <c r="F57" s="788"/>
      <c r="G57" s="753"/>
      <c r="H57" s="643"/>
      <c r="I57" s="777"/>
    </row>
    <row r="58" spans="1:28" s="641" customFormat="1" x14ac:dyDescent="0.25">
      <c r="A58" s="783" t="s">
        <v>1091</v>
      </c>
      <c r="B58" s="783" t="s">
        <v>269</v>
      </c>
      <c r="C58" s="840" t="s">
        <v>71</v>
      </c>
      <c r="D58" s="791">
        <v>27.204960000000064</v>
      </c>
      <c r="E58" s="786"/>
      <c r="F58" s="788"/>
      <c r="G58" s="753"/>
      <c r="H58" s="643"/>
      <c r="I58" s="777"/>
    </row>
    <row r="59" spans="1:28" s="641" customFormat="1" x14ac:dyDescent="0.25">
      <c r="A59" s="783" t="s">
        <v>1092</v>
      </c>
      <c r="B59" s="783" t="s">
        <v>270</v>
      </c>
      <c r="C59" s="840" t="s">
        <v>71</v>
      </c>
      <c r="D59" s="791">
        <v>1.056</v>
      </c>
      <c r="E59" s="786"/>
      <c r="F59" s="788"/>
      <c r="G59" s="753"/>
      <c r="H59" s="643"/>
      <c r="I59" s="778"/>
    </row>
    <row r="60" spans="1:28" s="641" customFormat="1" x14ac:dyDescent="0.25">
      <c r="A60" s="783" t="s">
        <v>1093</v>
      </c>
      <c r="B60" s="783" t="s">
        <v>271</v>
      </c>
      <c r="C60" s="840" t="s">
        <v>71</v>
      </c>
      <c r="D60" s="791">
        <v>13.813429124999995</v>
      </c>
      <c r="E60" s="786"/>
      <c r="F60" s="788"/>
      <c r="G60" s="753"/>
      <c r="H60" s="643"/>
      <c r="I60" s="778"/>
    </row>
    <row r="61" spans="1:28" s="641" customFormat="1" ht="28.5" x14ac:dyDescent="0.25">
      <c r="A61" s="783" t="s">
        <v>1094</v>
      </c>
      <c r="B61" s="783" t="s">
        <v>272</v>
      </c>
      <c r="C61" s="840" t="s">
        <v>72</v>
      </c>
      <c r="D61" s="791">
        <v>243.036</v>
      </c>
      <c r="E61" s="786"/>
      <c r="F61" s="788"/>
      <c r="G61" s="753"/>
      <c r="H61" s="643"/>
    </row>
    <row r="62" spans="1:28" s="641" customFormat="1" ht="28.5" x14ac:dyDescent="0.25">
      <c r="A62" s="783" t="s">
        <v>1095</v>
      </c>
      <c r="B62" s="783" t="s">
        <v>273</v>
      </c>
      <c r="C62" s="840" t="s">
        <v>72</v>
      </c>
      <c r="D62" s="791">
        <v>95.141999999999996</v>
      </c>
      <c r="E62" s="786"/>
      <c r="F62" s="788"/>
      <c r="G62" s="753"/>
      <c r="H62" s="643"/>
    </row>
    <row r="63" spans="1:28" s="641" customFormat="1" ht="28.5" x14ac:dyDescent="0.25">
      <c r="A63" s="783" t="s">
        <v>1096</v>
      </c>
      <c r="B63" s="783" t="s">
        <v>274</v>
      </c>
      <c r="C63" s="840" t="s">
        <v>275</v>
      </c>
      <c r="D63" s="785">
        <v>2</v>
      </c>
      <c r="E63" s="786"/>
      <c r="F63" s="788"/>
      <c r="G63" s="753"/>
      <c r="H63" s="643"/>
    </row>
    <row r="64" spans="1:28" s="641" customFormat="1" ht="28.5" x14ac:dyDescent="0.25">
      <c r="A64" s="783" t="s">
        <v>1097</v>
      </c>
      <c r="B64" s="783" t="s">
        <v>276</v>
      </c>
      <c r="C64" s="840" t="s">
        <v>275</v>
      </c>
      <c r="D64" s="785">
        <v>1</v>
      </c>
      <c r="E64" s="786"/>
      <c r="F64" s="788"/>
      <c r="G64" s="753"/>
      <c r="H64" s="643"/>
    </row>
    <row r="65" spans="1:13" s="641" customFormat="1" ht="28.5" x14ac:dyDescent="0.25">
      <c r="A65" s="783" t="s">
        <v>1098</v>
      </c>
      <c r="B65" s="783" t="s">
        <v>277</v>
      </c>
      <c r="C65" s="840" t="s">
        <v>278</v>
      </c>
      <c r="D65" s="785">
        <v>1</v>
      </c>
      <c r="E65" s="786"/>
      <c r="F65" s="788"/>
      <c r="G65" s="753"/>
      <c r="H65" s="643"/>
    </row>
    <row r="66" spans="1:13" s="641" customFormat="1" x14ac:dyDescent="0.25">
      <c r="A66" s="879" t="s">
        <v>1166</v>
      </c>
      <c r="B66" s="871"/>
      <c r="C66" s="871"/>
      <c r="D66" s="871"/>
      <c r="E66" s="871"/>
      <c r="F66" s="872"/>
      <c r="G66" s="779">
        <f>SUM(G54:G65)</f>
        <v>0</v>
      </c>
      <c r="H66" s="643"/>
    </row>
    <row r="67" spans="1:13" s="641" customFormat="1" x14ac:dyDescent="0.25">
      <c r="A67" s="783"/>
      <c r="B67" s="784" t="s">
        <v>1165</v>
      </c>
      <c r="C67" s="783"/>
      <c r="D67" s="785"/>
      <c r="E67" s="786"/>
      <c r="F67" s="787"/>
      <c r="G67" s="789"/>
      <c r="H67" s="643"/>
    </row>
    <row r="68" spans="1:13" s="641" customFormat="1" ht="28.5" x14ac:dyDescent="0.25">
      <c r="A68" s="783" t="s">
        <v>1194</v>
      </c>
      <c r="B68" s="783" t="s">
        <v>265</v>
      </c>
      <c r="C68" s="840" t="s">
        <v>71</v>
      </c>
      <c r="D68" s="785">
        <v>40</v>
      </c>
      <c r="E68" s="786"/>
      <c r="F68" s="788"/>
      <c r="G68" s="753"/>
      <c r="H68" s="643"/>
    </row>
    <row r="69" spans="1:13" s="641" customFormat="1" ht="28.5" x14ac:dyDescent="0.25">
      <c r="A69" s="783" t="s">
        <v>1195</v>
      </c>
      <c r="B69" s="783" t="s">
        <v>280</v>
      </c>
      <c r="C69" s="840" t="s">
        <v>71</v>
      </c>
      <c r="D69" s="790">
        <v>3.1451200000000004</v>
      </c>
      <c r="E69" s="786"/>
      <c r="F69" s="788"/>
      <c r="G69" s="753"/>
      <c r="H69" s="643"/>
    </row>
    <row r="70" spans="1:13" s="641" customFormat="1" ht="28.5" x14ac:dyDescent="0.25">
      <c r="A70" s="783" t="s">
        <v>1196</v>
      </c>
      <c r="B70" s="783" t="s">
        <v>267</v>
      </c>
      <c r="C70" s="840" t="s">
        <v>71</v>
      </c>
      <c r="D70" s="790">
        <v>0.78628000000000009</v>
      </c>
      <c r="E70" s="786"/>
      <c r="F70" s="788"/>
      <c r="G70" s="753"/>
      <c r="H70" s="643"/>
    </row>
    <row r="71" spans="1:13" s="641" customFormat="1" ht="28.5" x14ac:dyDescent="0.25">
      <c r="A71" s="783" t="s">
        <v>1197</v>
      </c>
      <c r="B71" s="783" t="s">
        <v>1164</v>
      </c>
      <c r="C71" s="840" t="s">
        <v>71</v>
      </c>
      <c r="D71" s="791">
        <v>2.3588399999999998</v>
      </c>
      <c r="E71" s="786"/>
      <c r="F71" s="788"/>
      <c r="G71" s="753"/>
      <c r="H71" s="643"/>
    </row>
    <row r="72" spans="1:13" s="641" customFormat="1" ht="28.5" x14ac:dyDescent="0.25">
      <c r="A72" s="783" t="s">
        <v>1198</v>
      </c>
      <c r="B72" s="783" t="s">
        <v>281</v>
      </c>
      <c r="C72" s="840" t="s">
        <v>71</v>
      </c>
      <c r="D72" s="790">
        <v>3.8054999999999999</v>
      </c>
      <c r="E72" s="786"/>
      <c r="F72" s="788"/>
      <c r="G72" s="753"/>
      <c r="H72" s="643"/>
    </row>
    <row r="73" spans="1:13" s="641" customFormat="1" ht="28.5" x14ac:dyDescent="0.25">
      <c r="A73" s="783" t="s">
        <v>1199</v>
      </c>
      <c r="B73" s="783" t="s">
        <v>271</v>
      </c>
      <c r="C73" s="840" t="s">
        <v>71</v>
      </c>
      <c r="D73" s="790">
        <v>1.7455416000000004</v>
      </c>
      <c r="E73" s="786"/>
      <c r="F73" s="788"/>
      <c r="G73" s="753"/>
      <c r="H73" s="643"/>
    </row>
    <row r="74" spans="1:13" s="641" customFormat="1" ht="28.5" x14ac:dyDescent="0.25">
      <c r="A74" s="783" t="s">
        <v>1200</v>
      </c>
      <c r="B74" s="783" t="s">
        <v>282</v>
      </c>
      <c r="C74" s="840" t="s">
        <v>283</v>
      </c>
      <c r="D74" s="785">
        <v>16.125</v>
      </c>
      <c r="E74" s="786"/>
      <c r="F74" s="788"/>
      <c r="G74" s="753"/>
      <c r="H74" s="643"/>
    </row>
    <row r="75" spans="1:13" s="641" customFormat="1" ht="28.5" x14ac:dyDescent="0.25">
      <c r="A75" s="783" t="s">
        <v>1201</v>
      </c>
      <c r="B75" s="783" t="s">
        <v>284</v>
      </c>
      <c r="C75" s="840" t="s">
        <v>283</v>
      </c>
      <c r="D75" s="785">
        <v>16.125</v>
      </c>
      <c r="E75" s="786"/>
      <c r="F75" s="788"/>
      <c r="G75" s="753"/>
      <c r="H75" s="643"/>
    </row>
    <row r="76" spans="1:13" s="641" customFormat="1" ht="28.5" x14ac:dyDescent="0.25">
      <c r="A76" s="783" t="s">
        <v>1202</v>
      </c>
      <c r="B76" s="783" t="s">
        <v>285</v>
      </c>
      <c r="C76" s="840" t="s">
        <v>286</v>
      </c>
      <c r="D76" s="785">
        <v>1</v>
      </c>
      <c r="E76" s="786"/>
      <c r="F76" s="788"/>
      <c r="G76" s="753"/>
      <c r="H76" s="643"/>
      <c r="I76" s="778"/>
    </row>
    <row r="77" spans="1:13" s="641" customFormat="1" x14ac:dyDescent="0.25">
      <c r="A77" s="93"/>
      <c r="B77" s="879" t="s">
        <v>1168</v>
      </c>
      <c r="C77" s="871"/>
      <c r="D77" s="871"/>
      <c r="E77" s="871"/>
      <c r="F77" s="872"/>
      <c r="G77" s="779">
        <f>SUM(G68:G76)</f>
        <v>0</v>
      </c>
      <c r="H77" s="643"/>
    </row>
    <row r="78" spans="1:13" s="641" customFormat="1" x14ac:dyDescent="0.25">
      <c r="A78" s="783"/>
      <c r="B78" s="784" t="s">
        <v>287</v>
      </c>
      <c r="C78" s="783"/>
      <c r="D78" s="785"/>
      <c r="E78" s="786"/>
      <c r="F78" s="787"/>
      <c r="G78" s="753"/>
      <c r="H78" s="643"/>
    </row>
    <row r="79" spans="1:13" s="641" customFormat="1" ht="28.5" x14ac:dyDescent="0.25">
      <c r="A79" s="783" t="s">
        <v>1203</v>
      </c>
      <c r="B79" s="783" t="s">
        <v>16</v>
      </c>
      <c r="C79" s="840" t="s">
        <v>1176</v>
      </c>
      <c r="D79" s="785">
        <v>2.3760000000000003</v>
      </c>
      <c r="E79" s="786"/>
      <c r="F79" s="788"/>
      <c r="G79" s="753"/>
      <c r="H79" s="643"/>
      <c r="M79" s="780"/>
    </row>
    <row r="80" spans="1:13" s="641" customFormat="1" ht="28.5" x14ac:dyDescent="0.25">
      <c r="A80" s="783" t="s">
        <v>1204</v>
      </c>
      <c r="B80" s="783" t="s">
        <v>289</v>
      </c>
      <c r="C80" s="840" t="s">
        <v>1176</v>
      </c>
      <c r="D80" s="785">
        <v>0.192</v>
      </c>
      <c r="E80" s="786"/>
      <c r="F80" s="788"/>
      <c r="G80" s="753"/>
      <c r="H80" s="643"/>
    </row>
    <row r="81" spans="1:433" s="641" customFormat="1" ht="28.5" x14ac:dyDescent="0.25">
      <c r="A81" s="783" t="s">
        <v>1205</v>
      </c>
      <c r="B81" s="783" t="s">
        <v>18</v>
      </c>
      <c r="C81" s="840" t="s">
        <v>1176</v>
      </c>
      <c r="D81" s="785">
        <v>4.8000000000000001E-2</v>
      </c>
      <c r="E81" s="786"/>
      <c r="F81" s="788"/>
      <c r="G81" s="753"/>
      <c r="H81" s="643"/>
      <c r="J81" s="778"/>
      <c r="K81" s="778"/>
    </row>
    <row r="82" spans="1:433" s="641" customFormat="1" ht="28.5" x14ac:dyDescent="0.25">
      <c r="A82" s="783" t="s">
        <v>1206</v>
      </c>
      <c r="B82" s="783" t="s">
        <v>47</v>
      </c>
      <c r="C82" s="840" t="s">
        <v>1176</v>
      </c>
      <c r="D82" s="785">
        <v>0.1008</v>
      </c>
      <c r="E82" s="786"/>
      <c r="F82" s="788"/>
      <c r="G82" s="753"/>
      <c r="H82" s="643"/>
    </row>
    <row r="83" spans="1:433" s="641" customFormat="1" ht="28.5" x14ac:dyDescent="0.25">
      <c r="A83" s="783" t="s">
        <v>1207</v>
      </c>
      <c r="B83" s="783" t="s">
        <v>290</v>
      </c>
      <c r="C83" s="840" t="s">
        <v>1176</v>
      </c>
      <c r="D83" s="785">
        <v>0.504</v>
      </c>
      <c r="E83" s="786"/>
      <c r="F83" s="788"/>
      <c r="G83" s="753"/>
      <c r="H83" s="643"/>
    </row>
    <row r="84" spans="1:433" s="641" customFormat="1" ht="28.5" x14ac:dyDescent="0.25">
      <c r="A84" s="783" t="s">
        <v>1208</v>
      </c>
      <c r="B84" s="783" t="s">
        <v>1177</v>
      </c>
      <c r="C84" s="840" t="s">
        <v>1178</v>
      </c>
      <c r="D84" s="785">
        <v>1.68</v>
      </c>
      <c r="E84" s="786"/>
      <c r="F84" s="788"/>
      <c r="G84" s="753"/>
      <c r="H84" s="643"/>
    </row>
    <row r="85" spans="1:433" s="641" customFormat="1" ht="28.5" x14ac:dyDescent="0.25">
      <c r="A85" s="783" t="s">
        <v>1209</v>
      </c>
      <c r="B85" s="783" t="s">
        <v>1179</v>
      </c>
      <c r="C85" s="840" t="s">
        <v>190</v>
      </c>
      <c r="D85" s="785">
        <v>1</v>
      </c>
      <c r="E85" s="786"/>
      <c r="F85" s="788"/>
      <c r="G85" s="753"/>
      <c r="H85" s="643"/>
    </row>
    <row r="86" spans="1:433" s="641" customFormat="1" x14ac:dyDescent="0.25">
      <c r="A86" s="871" t="s">
        <v>1167</v>
      </c>
      <c r="B86" s="871"/>
      <c r="C86" s="871"/>
      <c r="D86" s="871"/>
      <c r="E86" s="871"/>
      <c r="F86" s="872"/>
      <c r="G86" s="779">
        <f>SUM(G79:G85)</f>
        <v>0</v>
      </c>
      <c r="H86" s="643"/>
    </row>
    <row r="87" spans="1:433" s="2" customFormat="1" ht="18.75" x14ac:dyDescent="0.25">
      <c r="A87" s="95"/>
      <c r="B87" s="96" t="s">
        <v>1169</v>
      </c>
      <c r="C87" s="97"/>
      <c r="D87" s="131"/>
      <c r="E87" s="320"/>
      <c r="F87" s="747">
        <f>G87*1400</f>
        <v>0</v>
      </c>
      <c r="G87" s="776">
        <f>G86+G77+G66</f>
        <v>0</v>
      </c>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row>
    <row r="89" spans="1:433" s="104" customFormat="1" ht="15.75" customHeight="1" x14ac:dyDescent="0.25">
      <c r="A89" s="367">
        <v>3.2</v>
      </c>
      <c r="B89" s="873" t="s">
        <v>1170</v>
      </c>
      <c r="C89" s="873"/>
      <c r="D89" s="873"/>
      <c r="E89" s="873"/>
      <c r="F89" s="873"/>
      <c r="G89" s="873"/>
    </row>
    <row r="90" spans="1:433" s="572" customFormat="1" ht="15" x14ac:dyDescent="0.25">
      <c r="A90" s="587" t="s">
        <v>197</v>
      </c>
      <c r="B90" s="588" t="s">
        <v>1171</v>
      </c>
      <c r="C90" s="589"/>
      <c r="D90" s="590"/>
      <c r="E90" s="591"/>
      <c r="F90" s="744"/>
      <c r="G90" s="756"/>
    </row>
    <row r="91" spans="1:433" s="572" customFormat="1" ht="31.5" customHeight="1" x14ac:dyDescent="0.25">
      <c r="A91" s="620" t="s">
        <v>1007</v>
      </c>
      <c r="B91" s="605" t="s">
        <v>34</v>
      </c>
      <c r="C91" s="602" t="s">
        <v>951</v>
      </c>
      <c r="D91" s="621">
        <f xml:space="preserve"> (1+5.7)*(1+5.4)*0.5*1.05</f>
        <v>22.512000000000004</v>
      </c>
      <c r="E91" s="599"/>
      <c r="F91" s="746"/>
      <c r="G91" s="782"/>
    </row>
    <row r="92" spans="1:433" s="572" customFormat="1" ht="30.75" customHeight="1" x14ac:dyDescent="0.25">
      <c r="A92" s="620" t="s">
        <v>1009</v>
      </c>
      <c r="B92" s="605" t="s">
        <v>35</v>
      </c>
      <c r="C92" s="602" t="s">
        <v>951</v>
      </c>
      <c r="D92" s="621">
        <f>((5.2*3.4)-2*((0.7*0.5)+(1.5*1.05))  )*0.15*1.05</f>
        <v>2.1782249999999999</v>
      </c>
      <c r="E92" s="599"/>
      <c r="F92" s="746"/>
      <c r="G92" s="782"/>
    </row>
    <row r="93" spans="1:433" s="572" customFormat="1" ht="16.5" x14ac:dyDescent="0.25">
      <c r="A93" s="620" t="s">
        <v>1010</v>
      </c>
      <c r="B93" s="605" t="s">
        <v>18</v>
      </c>
      <c r="C93" s="602" t="s">
        <v>951</v>
      </c>
      <c r="D93" s="621">
        <f>D92/0.3*0.05*1.05</f>
        <v>0.38118937500000005</v>
      </c>
      <c r="E93" s="599"/>
      <c r="F93" s="746"/>
      <c r="G93" s="782"/>
    </row>
    <row r="94" spans="1:433" s="572" customFormat="1" ht="16.5" x14ac:dyDescent="0.25">
      <c r="A94" s="620" t="s">
        <v>1011</v>
      </c>
      <c r="B94" s="605" t="s">
        <v>36</v>
      </c>
      <c r="C94" s="602" t="s">
        <v>951</v>
      </c>
      <c r="D94" s="621">
        <f>((3.7-0.2)*(3.4-0.2)-2*(0.7*0.5)  )*0.1*1.05</f>
        <v>1.1025</v>
      </c>
      <c r="E94" s="599"/>
      <c r="F94" s="746"/>
      <c r="G94" s="782"/>
    </row>
    <row r="95" spans="1:433" s="572" customFormat="1" ht="16.5" x14ac:dyDescent="0.25">
      <c r="A95" s="620" t="s">
        <v>1012</v>
      </c>
      <c r="B95" s="605" t="s">
        <v>51</v>
      </c>
      <c r="C95" s="602" t="s">
        <v>951</v>
      </c>
      <c r="D95" s="590">
        <f xml:space="preserve"> ((0.9)*(1)*0.1  -  (0.5*0.5)*0.1)*1.05</f>
        <v>6.8250000000000005E-2</v>
      </c>
      <c r="E95" s="599"/>
      <c r="F95" s="746"/>
      <c r="G95" s="782"/>
    </row>
    <row r="96" spans="1:433" s="572" customFormat="1" ht="16.5" x14ac:dyDescent="0.25">
      <c r="A96" s="620" t="s">
        <v>1013</v>
      </c>
      <c r="B96" s="605" t="s">
        <v>38</v>
      </c>
      <c r="C96" s="602" t="s">
        <v>951</v>
      </c>
      <c r="D96" s="621">
        <f>( 0.2*(2*(1.7+1)*0.7+ (1*0.7) +((1.9+2)*2+0.7*2)*0.1*0.2 ))*1.05</f>
        <v>0.97943999999999998</v>
      </c>
      <c r="E96" s="599"/>
      <c r="F96" s="746"/>
      <c r="G96" s="782"/>
    </row>
    <row r="97" spans="1:28" s="572" customFormat="1" ht="16.5" x14ac:dyDescent="0.25">
      <c r="A97" s="620" t="s">
        <v>1014</v>
      </c>
      <c r="B97" s="605" t="s">
        <v>1003</v>
      </c>
      <c r="C97" s="602" t="s">
        <v>950</v>
      </c>
      <c r="D97" s="621">
        <f>(2*(1.7*1)*0.7+  2*(1.2*0.7)+((1.9+2)*2+0.7*2))*1.05</f>
        <v>13.922999999999998</v>
      </c>
      <c r="E97" s="599"/>
      <c r="F97" s="746"/>
      <c r="G97" s="782"/>
    </row>
    <row r="98" spans="1:28" s="572" customFormat="1" ht="16.5" x14ac:dyDescent="0.25">
      <c r="A98" s="620" t="s">
        <v>1016</v>
      </c>
      <c r="B98" s="605" t="s">
        <v>22</v>
      </c>
      <c r="C98" s="602" t="s">
        <v>950</v>
      </c>
      <c r="D98" s="621">
        <f>0.1*(1)*1*1.05</f>
        <v>0.10500000000000001</v>
      </c>
      <c r="E98" s="599"/>
      <c r="F98" s="746"/>
      <c r="G98" s="782"/>
    </row>
    <row r="99" spans="1:28" s="572" customFormat="1" ht="28.5" x14ac:dyDescent="0.25">
      <c r="A99" s="620" t="s">
        <v>1017</v>
      </c>
      <c r="B99" s="605" t="s">
        <v>52</v>
      </c>
      <c r="C99" s="602" t="s">
        <v>950</v>
      </c>
      <c r="D99" s="621">
        <f>(1+0.9*2)*0.2*1.05</f>
        <v>0.58799999999999997</v>
      </c>
      <c r="E99" s="599"/>
      <c r="F99" s="746"/>
      <c r="G99" s="782"/>
    </row>
    <row r="100" spans="1:28" s="572" customFormat="1" ht="14.25" x14ac:dyDescent="0.25">
      <c r="A100" s="620" t="s">
        <v>1018</v>
      </c>
      <c r="B100" s="605" t="s">
        <v>53</v>
      </c>
      <c r="C100" s="602" t="s">
        <v>14</v>
      </c>
      <c r="D100" s="621">
        <v>1</v>
      </c>
      <c r="E100" s="599"/>
      <c r="F100" s="746"/>
      <c r="G100" s="782"/>
    </row>
    <row r="101" spans="1:28" s="572" customFormat="1" ht="42.75" x14ac:dyDescent="0.25">
      <c r="A101" s="620" t="s">
        <v>1019</v>
      </c>
      <c r="B101" s="605" t="s">
        <v>1004</v>
      </c>
      <c r="C101" s="589" t="s">
        <v>190</v>
      </c>
      <c r="D101" s="621">
        <v>1</v>
      </c>
      <c r="E101" s="599"/>
      <c r="F101" s="746"/>
      <c r="G101" s="782"/>
    </row>
    <row r="102" spans="1:28" s="572" customFormat="1" ht="16.5" x14ac:dyDescent="0.25">
      <c r="A102" s="620" t="s">
        <v>1020</v>
      </c>
      <c r="B102" s="605" t="s">
        <v>1000</v>
      </c>
      <c r="C102" s="589" t="s">
        <v>190</v>
      </c>
      <c r="D102" s="621">
        <v>1</v>
      </c>
      <c r="E102" s="599"/>
      <c r="F102" s="746"/>
      <c r="G102" s="782"/>
    </row>
    <row r="103" spans="1:28" x14ac:dyDescent="0.25">
      <c r="A103" s="352"/>
      <c r="B103" s="874" t="s">
        <v>1172</v>
      </c>
      <c r="C103" s="875"/>
      <c r="D103" s="875"/>
      <c r="E103" s="876"/>
      <c r="F103" s="751">
        <f>SUM(F91:F102)</f>
        <v>0</v>
      </c>
      <c r="G103" s="763">
        <f>SUM(G91:G102)</f>
        <v>0</v>
      </c>
    </row>
    <row r="104" spans="1:28" s="36" customFormat="1" x14ac:dyDescent="0.25">
      <c r="A104" s="805"/>
      <c r="B104" s="806" t="s">
        <v>1173</v>
      </c>
      <c r="C104" s="807"/>
      <c r="D104" s="808" t="s">
        <v>642</v>
      </c>
      <c r="E104" s="809">
        <v>2</v>
      </c>
      <c r="F104" s="810">
        <f>F103*E104</f>
        <v>0</v>
      </c>
      <c r="G104" s="811">
        <f>G103*2</f>
        <v>0</v>
      </c>
      <c r="H104" s="1"/>
      <c r="I104" s="1"/>
      <c r="J104" s="1"/>
      <c r="K104" s="1"/>
      <c r="L104" s="1"/>
      <c r="M104" s="1"/>
      <c r="N104" s="1"/>
      <c r="O104" s="1"/>
      <c r="P104" s="1"/>
      <c r="Q104" s="1"/>
      <c r="R104" s="1"/>
      <c r="S104" s="1"/>
      <c r="T104" s="1"/>
      <c r="U104" s="1"/>
      <c r="V104" s="1"/>
      <c r="W104" s="1"/>
      <c r="X104" s="1"/>
      <c r="Y104" s="1"/>
      <c r="Z104" s="1"/>
      <c r="AA104" s="1"/>
      <c r="AB104" s="1"/>
    </row>
    <row r="105" spans="1:28" s="804" customFormat="1" x14ac:dyDescent="0.25">
      <c r="A105" s="812"/>
      <c r="B105" s="813"/>
      <c r="C105" s="105"/>
      <c r="D105" s="814"/>
      <c r="E105" s="815"/>
      <c r="F105" s="816"/>
      <c r="G105" s="817"/>
      <c r="H105" s="1"/>
      <c r="I105" s="1"/>
      <c r="J105" s="1"/>
      <c r="K105" s="1"/>
      <c r="L105" s="1"/>
      <c r="M105" s="1"/>
      <c r="N105" s="1"/>
      <c r="O105" s="1"/>
      <c r="P105" s="1"/>
      <c r="Q105" s="1"/>
      <c r="R105" s="1"/>
      <c r="S105" s="1"/>
      <c r="T105" s="1"/>
      <c r="U105" s="1"/>
      <c r="V105" s="1"/>
      <c r="W105" s="1"/>
      <c r="X105" s="1"/>
      <c r="Y105" s="1"/>
      <c r="Z105" s="1"/>
      <c r="AA105" s="1"/>
      <c r="AB105" s="1"/>
    </row>
    <row r="106" spans="1:28" customFormat="1" x14ac:dyDescent="0.25">
      <c r="A106" s="869" t="s">
        <v>1175</v>
      </c>
      <c r="B106" s="869"/>
      <c r="C106" s="869"/>
      <c r="D106" s="869"/>
      <c r="E106" s="869"/>
      <c r="F106" s="869"/>
      <c r="G106" s="869"/>
    </row>
    <row r="107" spans="1:28" s="572" customFormat="1" ht="15" x14ac:dyDescent="0.25">
      <c r="A107" s="818" t="s">
        <v>1142</v>
      </c>
      <c r="B107" s="819" t="s">
        <v>1174</v>
      </c>
      <c r="C107" s="820"/>
      <c r="D107" s="821"/>
      <c r="E107" s="822"/>
      <c r="F107" s="781"/>
      <c r="G107" s="764"/>
    </row>
    <row r="108" spans="1:28" s="795" customFormat="1" ht="15" x14ac:dyDescent="0.25">
      <c r="A108" s="625" t="s">
        <v>1143</v>
      </c>
      <c r="B108" s="625" t="s">
        <v>884</v>
      </c>
      <c r="C108" s="605"/>
      <c r="D108" s="605"/>
      <c r="E108" s="605"/>
      <c r="F108" s="794"/>
      <c r="G108" s="801"/>
    </row>
    <row r="109" spans="1:28" s="795" customFormat="1" ht="17.25" x14ac:dyDescent="0.25">
      <c r="A109" s="605"/>
      <c r="B109" s="605" t="s">
        <v>885</v>
      </c>
      <c r="C109" s="823" t="s">
        <v>1180</v>
      </c>
      <c r="D109" s="605">
        <f>(1+3.6)*(1+4.2)*1.2*1.05</f>
        <v>30.139199999999999</v>
      </c>
      <c r="E109" s="605"/>
      <c r="F109" s="794"/>
      <c r="G109" s="801"/>
    </row>
    <row r="110" spans="1:28" s="795" customFormat="1" ht="15" x14ac:dyDescent="0.25">
      <c r="A110" s="625" t="s">
        <v>1144</v>
      </c>
      <c r="B110" s="625" t="s">
        <v>887</v>
      </c>
      <c r="C110" s="823"/>
      <c r="D110" s="605"/>
      <c r="E110" s="605"/>
      <c r="F110" s="794"/>
      <c r="G110" s="801"/>
    </row>
    <row r="111" spans="1:28" s="795" customFormat="1" ht="17.25" x14ac:dyDescent="0.25">
      <c r="A111" s="605"/>
      <c r="B111" s="605" t="s">
        <v>888</v>
      </c>
      <c r="C111" s="823" t="s">
        <v>1180</v>
      </c>
      <c r="D111" s="605">
        <f>(2*(3.6+4.2)+3.2+1.8)*0.4*1*1.05</f>
        <v>8.652000000000001</v>
      </c>
      <c r="E111" s="605"/>
      <c r="F111" s="794"/>
      <c r="G111" s="802"/>
    </row>
    <row r="112" spans="1:28" s="795" customFormat="1" ht="17.25" x14ac:dyDescent="0.25">
      <c r="A112" s="605"/>
      <c r="B112" s="605" t="s">
        <v>545</v>
      </c>
      <c r="C112" s="823" t="s">
        <v>1180</v>
      </c>
      <c r="D112" s="605">
        <f>20.6*0.5*0.06*1.05</f>
        <v>0.64890000000000003</v>
      </c>
      <c r="E112" s="605"/>
      <c r="F112" s="794"/>
      <c r="G112" s="802"/>
    </row>
    <row r="113" spans="1:7" s="795" customFormat="1" ht="17.25" x14ac:dyDescent="0.25">
      <c r="A113" s="605"/>
      <c r="B113" s="605" t="s">
        <v>889</v>
      </c>
      <c r="C113" s="823" t="s">
        <v>1180</v>
      </c>
      <c r="D113" s="605">
        <f>20.6*0.4*1*1.05</f>
        <v>8.652000000000001</v>
      </c>
      <c r="E113" s="605"/>
      <c r="F113" s="794"/>
      <c r="G113" s="802"/>
    </row>
    <row r="114" spans="1:7" s="795" customFormat="1" ht="17.25" x14ac:dyDescent="0.25">
      <c r="A114" s="605"/>
      <c r="B114" s="605" t="s">
        <v>890</v>
      </c>
      <c r="C114" s="823" t="s">
        <v>1181</v>
      </c>
      <c r="D114" s="605">
        <f>20.6*0.5*1.05</f>
        <v>10.815000000000001</v>
      </c>
      <c r="E114" s="605"/>
      <c r="F114" s="794"/>
      <c r="G114" s="802"/>
    </row>
    <row r="115" spans="1:7" s="795" customFormat="1" ht="15" x14ac:dyDescent="0.25">
      <c r="A115" s="605"/>
      <c r="B115" s="605" t="s">
        <v>892</v>
      </c>
      <c r="C115" s="823" t="s">
        <v>11</v>
      </c>
      <c r="D115" s="605">
        <f>20.6*0.2*1.05</f>
        <v>4.3260000000000005</v>
      </c>
      <c r="E115" s="605"/>
      <c r="F115" s="794"/>
      <c r="G115" s="802"/>
    </row>
    <row r="116" spans="1:7" s="795" customFormat="1" x14ac:dyDescent="0.25">
      <c r="A116" s="870" t="s">
        <v>1183</v>
      </c>
      <c r="B116" s="861"/>
      <c r="C116" s="861"/>
      <c r="D116" s="861"/>
      <c r="E116" s="861"/>
      <c r="F116" s="862"/>
      <c r="G116" s="824">
        <f>SUM(G111:G115)+G109</f>
        <v>0</v>
      </c>
    </row>
    <row r="117" spans="1:7" s="795" customFormat="1" ht="15" x14ac:dyDescent="0.25">
      <c r="A117" s="625" t="s">
        <v>1145</v>
      </c>
      <c r="B117" s="625" t="s">
        <v>893</v>
      </c>
      <c r="C117" s="605"/>
      <c r="D117" s="605"/>
      <c r="E117" s="605"/>
      <c r="F117" s="794"/>
      <c r="G117" s="801"/>
    </row>
    <row r="118" spans="1:7" s="795" customFormat="1" ht="17.25" x14ac:dyDescent="0.25">
      <c r="A118" s="605"/>
      <c r="B118" s="605" t="s">
        <v>894</v>
      </c>
      <c r="C118" s="605" t="s">
        <v>1180</v>
      </c>
      <c r="D118" s="605">
        <f>0.2*(3.6*2+1.8*3)*2.8-(+D122+D133*0.2*0.9*2.1+D134*2.1*0.9+D135*0.2*1.2*1.2)*1.05</f>
        <v>3.5009100000000006</v>
      </c>
      <c r="E118" s="605"/>
      <c r="F118" s="794"/>
      <c r="G118" s="802"/>
    </row>
    <row r="119" spans="1:7" s="795" customFormat="1" ht="17.25" x14ac:dyDescent="0.25">
      <c r="A119" s="605"/>
      <c r="B119" s="605" t="s">
        <v>895</v>
      </c>
      <c r="C119" s="605" t="s">
        <v>1181</v>
      </c>
      <c r="D119" s="605">
        <f>(0.2*0.2)*8*1.05</f>
        <v>0.33600000000000008</v>
      </c>
      <c r="E119" s="605"/>
      <c r="F119" s="794"/>
      <c r="G119" s="802"/>
    </row>
    <row r="120" spans="1:7" s="795" customFormat="1" x14ac:dyDescent="0.25">
      <c r="A120" s="870" t="s">
        <v>1184</v>
      </c>
      <c r="B120" s="861"/>
      <c r="C120" s="861"/>
      <c r="D120" s="861"/>
      <c r="E120" s="861"/>
      <c r="F120" s="862"/>
      <c r="G120" s="824">
        <f>SUM(G118:G119)</f>
        <v>0</v>
      </c>
    </row>
    <row r="121" spans="1:7" s="795" customFormat="1" ht="15" x14ac:dyDescent="0.25">
      <c r="A121" s="625" t="s">
        <v>1146</v>
      </c>
      <c r="B121" s="625" t="s">
        <v>896</v>
      </c>
      <c r="C121" s="605"/>
      <c r="D121" s="605"/>
      <c r="E121" s="605"/>
      <c r="F121" s="794"/>
      <c r="G121" s="801"/>
    </row>
    <row r="122" spans="1:7" s="795" customFormat="1" ht="17.25" x14ac:dyDescent="0.25">
      <c r="A122" s="605"/>
      <c r="B122" s="605" t="s">
        <v>513</v>
      </c>
      <c r="C122" s="823" t="s">
        <v>1180</v>
      </c>
      <c r="D122" s="605">
        <f>(3.6*2+1.9*3)*0.2*0.2*1.05</f>
        <v>0.54180000000000006</v>
      </c>
      <c r="E122" s="605"/>
      <c r="F122" s="794"/>
      <c r="G122" s="802"/>
    </row>
    <row r="123" spans="1:7" s="795" customFormat="1" ht="15" x14ac:dyDescent="0.25">
      <c r="A123" s="625" t="s">
        <v>1147</v>
      </c>
      <c r="B123" s="625" t="s">
        <v>897</v>
      </c>
      <c r="C123" s="823"/>
      <c r="D123" s="605"/>
      <c r="E123" s="605"/>
      <c r="F123" s="794"/>
      <c r="G123" s="801"/>
    </row>
    <row r="124" spans="1:7" s="795" customFormat="1" ht="15" x14ac:dyDescent="0.25">
      <c r="A124" s="605"/>
      <c r="B124" s="605" t="s">
        <v>898</v>
      </c>
      <c r="C124" s="823" t="s">
        <v>11</v>
      </c>
      <c r="D124" s="605">
        <v>18</v>
      </c>
      <c r="E124" s="605"/>
      <c r="F124" s="794"/>
      <c r="G124" s="802"/>
    </row>
    <row r="125" spans="1:7" s="795" customFormat="1" ht="15" x14ac:dyDescent="0.25">
      <c r="A125" s="605"/>
      <c r="B125" s="605" t="s">
        <v>899</v>
      </c>
      <c r="C125" s="823" t="s">
        <v>11</v>
      </c>
      <c r="D125" s="605">
        <v>27.599999999999998</v>
      </c>
      <c r="E125" s="605"/>
      <c r="F125" s="794"/>
      <c r="G125" s="802"/>
    </row>
    <row r="126" spans="1:7" s="795" customFormat="1" ht="15" x14ac:dyDescent="0.25">
      <c r="A126" s="605"/>
      <c r="B126" s="605" t="s">
        <v>900</v>
      </c>
      <c r="C126" s="823" t="s">
        <v>11</v>
      </c>
      <c r="D126" s="605">
        <v>240</v>
      </c>
      <c r="E126" s="605"/>
      <c r="F126" s="794"/>
      <c r="G126" s="802"/>
    </row>
    <row r="127" spans="1:7" s="795" customFormat="1" ht="15" x14ac:dyDescent="0.25">
      <c r="A127" s="605"/>
      <c r="B127" s="605" t="s">
        <v>901</v>
      </c>
      <c r="C127" s="823" t="s">
        <v>11</v>
      </c>
      <c r="D127" s="605">
        <v>25.799999999999997</v>
      </c>
      <c r="E127" s="605"/>
      <c r="F127" s="794"/>
      <c r="G127" s="802"/>
    </row>
    <row r="128" spans="1:7" s="795" customFormat="1" ht="15" x14ac:dyDescent="0.25">
      <c r="A128" s="605"/>
      <c r="B128" s="605" t="s">
        <v>902</v>
      </c>
      <c r="C128" s="823" t="s">
        <v>11</v>
      </c>
      <c r="D128" s="605">
        <v>9</v>
      </c>
      <c r="E128" s="605"/>
      <c r="F128" s="794"/>
      <c r="G128" s="802"/>
    </row>
    <row r="129" spans="1:7" s="795" customFormat="1" x14ac:dyDescent="0.25">
      <c r="A129" s="870" t="s">
        <v>1185</v>
      </c>
      <c r="B129" s="861"/>
      <c r="C129" s="861"/>
      <c r="D129" s="861"/>
      <c r="E129" s="861"/>
      <c r="F129" s="862"/>
      <c r="G129" s="824">
        <f>SUM(G124:G128)+G122</f>
        <v>0</v>
      </c>
    </row>
    <row r="130" spans="1:7" s="795" customFormat="1" ht="15" x14ac:dyDescent="0.25">
      <c r="A130" s="625" t="s">
        <v>1148</v>
      </c>
      <c r="B130" s="625" t="s">
        <v>903</v>
      </c>
      <c r="C130" s="605"/>
      <c r="D130" s="605"/>
      <c r="E130" s="605"/>
      <c r="F130" s="794"/>
      <c r="G130" s="801"/>
    </row>
    <row r="131" spans="1:7" s="795" customFormat="1" ht="17.25" x14ac:dyDescent="0.25">
      <c r="A131" s="605"/>
      <c r="B131" s="605" t="s">
        <v>904</v>
      </c>
      <c r="C131" s="823" t="s">
        <v>1181</v>
      </c>
      <c r="D131" s="605">
        <f>6*4.6*1.05</f>
        <v>28.98</v>
      </c>
      <c r="E131" s="605"/>
      <c r="F131" s="794"/>
      <c r="G131" s="802"/>
    </row>
    <row r="132" spans="1:7" s="795" customFormat="1" ht="15" x14ac:dyDescent="0.25">
      <c r="A132" s="625" t="s">
        <v>1149</v>
      </c>
      <c r="B132" s="625" t="s">
        <v>905</v>
      </c>
      <c r="C132" s="823"/>
      <c r="D132" s="605"/>
      <c r="E132" s="605"/>
      <c r="F132" s="794"/>
      <c r="G132" s="801"/>
    </row>
    <row r="133" spans="1:7" s="795" customFormat="1" ht="15" x14ac:dyDescent="0.25">
      <c r="A133" s="605"/>
      <c r="B133" s="605" t="s">
        <v>906</v>
      </c>
      <c r="C133" s="823" t="s">
        <v>14</v>
      </c>
      <c r="D133" s="605">
        <v>1</v>
      </c>
      <c r="E133" s="605"/>
      <c r="F133" s="794"/>
      <c r="G133" s="802"/>
    </row>
    <row r="134" spans="1:7" s="795" customFormat="1" ht="15" x14ac:dyDescent="0.25">
      <c r="A134" s="605"/>
      <c r="B134" s="605" t="s">
        <v>907</v>
      </c>
      <c r="C134" s="823" t="s">
        <v>14</v>
      </c>
      <c r="D134" s="605">
        <v>1</v>
      </c>
      <c r="E134" s="605"/>
      <c r="F134" s="794"/>
      <c r="G134" s="802"/>
    </row>
    <row r="135" spans="1:7" s="795" customFormat="1" ht="15" x14ac:dyDescent="0.25">
      <c r="A135" s="605"/>
      <c r="B135" s="605" t="s">
        <v>908</v>
      </c>
      <c r="C135" s="823" t="s">
        <v>14</v>
      </c>
      <c r="D135" s="605">
        <v>2</v>
      </c>
      <c r="E135" s="605"/>
      <c r="F135" s="794"/>
      <c r="G135" s="802"/>
    </row>
    <row r="136" spans="1:7" s="795" customFormat="1" ht="15" x14ac:dyDescent="0.25">
      <c r="A136" s="625" t="s">
        <v>1150</v>
      </c>
      <c r="B136" s="625" t="s">
        <v>909</v>
      </c>
      <c r="C136" s="823"/>
      <c r="D136" s="605"/>
      <c r="E136" s="605"/>
      <c r="F136" s="794"/>
      <c r="G136" s="801"/>
    </row>
    <row r="137" spans="1:7" s="795" customFormat="1" ht="17.25" x14ac:dyDescent="0.25">
      <c r="A137" s="605"/>
      <c r="B137" s="605" t="s">
        <v>910</v>
      </c>
      <c r="C137" s="823" t="s">
        <v>1181</v>
      </c>
      <c r="D137" s="605">
        <f>((4.2*3.6)-D115*0.2)*1.05</f>
        <v>14.967540000000001</v>
      </c>
      <c r="E137" s="605"/>
      <c r="F137" s="794"/>
      <c r="G137" s="802"/>
    </row>
    <row r="138" spans="1:7" s="795" customFormat="1" ht="17.25" x14ac:dyDescent="0.25">
      <c r="A138" s="605"/>
      <c r="B138" s="605" t="s">
        <v>911</v>
      </c>
      <c r="C138" s="823" t="s">
        <v>1181</v>
      </c>
      <c r="D138" s="605">
        <f>(4.2+3.6)*2*0.8*1.05</f>
        <v>13.104000000000003</v>
      </c>
      <c r="E138" s="605"/>
      <c r="F138" s="794"/>
      <c r="G138" s="802"/>
    </row>
    <row r="139" spans="1:7" s="795" customFormat="1" ht="15" x14ac:dyDescent="0.25">
      <c r="A139" s="625" t="s">
        <v>1151</v>
      </c>
      <c r="B139" s="625" t="s">
        <v>912</v>
      </c>
      <c r="C139" s="823"/>
      <c r="D139" s="605"/>
      <c r="E139" s="605"/>
      <c r="F139" s="794"/>
      <c r="G139" s="801"/>
    </row>
    <row r="140" spans="1:7" s="795" customFormat="1" ht="17.25" x14ac:dyDescent="0.25">
      <c r="A140" s="605"/>
      <c r="B140" s="605" t="s">
        <v>913</v>
      </c>
      <c r="C140" s="823" t="s">
        <v>1181</v>
      </c>
      <c r="D140" s="605">
        <f>(1.8+1.5)*2*2.8*2*1.05</f>
        <v>38.807999999999993</v>
      </c>
      <c r="E140" s="605"/>
      <c r="F140" s="794"/>
      <c r="G140" s="802"/>
    </row>
    <row r="141" spans="1:7" s="795" customFormat="1" ht="15" x14ac:dyDescent="0.25">
      <c r="A141" s="605"/>
      <c r="B141" s="605" t="s">
        <v>914</v>
      </c>
      <c r="C141" s="823" t="s">
        <v>11</v>
      </c>
      <c r="D141" s="605">
        <v>8.652000000000001</v>
      </c>
      <c r="E141" s="605"/>
      <c r="F141" s="794"/>
      <c r="G141" s="802"/>
    </row>
    <row r="142" spans="1:7" s="795" customFormat="1" ht="30" x14ac:dyDescent="0.25">
      <c r="A142" s="625" t="s">
        <v>1152</v>
      </c>
      <c r="B142" s="625" t="s">
        <v>915</v>
      </c>
      <c r="C142" s="823" t="s">
        <v>1181</v>
      </c>
      <c r="D142" s="605">
        <f>3.2*2*1.05</f>
        <v>6.7200000000000006</v>
      </c>
      <c r="E142" s="605"/>
      <c r="F142" s="794"/>
      <c r="G142" s="802"/>
    </row>
    <row r="143" spans="1:7" s="795" customFormat="1" ht="30" x14ac:dyDescent="0.25">
      <c r="A143" s="625" t="s">
        <v>1153</v>
      </c>
      <c r="B143" s="625" t="s">
        <v>916</v>
      </c>
      <c r="C143" s="823" t="s">
        <v>11</v>
      </c>
      <c r="D143" s="605">
        <v>4.2</v>
      </c>
      <c r="E143" s="605"/>
      <c r="F143" s="794"/>
      <c r="G143" s="802"/>
    </row>
    <row r="144" spans="1:7" s="795" customFormat="1" ht="30" x14ac:dyDescent="0.25">
      <c r="A144" s="625" t="s">
        <v>1154</v>
      </c>
      <c r="B144" s="625" t="s">
        <v>917</v>
      </c>
      <c r="C144" s="823"/>
      <c r="D144" s="605"/>
      <c r="E144" s="605"/>
      <c r="F144" s="794"/>
      <c r="G144" s="801"/>
    </row>
    <row r="145" spans="1:41" s="795" customFormat="1" ht="17.25" x14ac:dyDescent="0.25">
      <c r="A145" s="605"/>
      <c r="B145" s="605" t="s">
        <v>918</v>
      </c>
      <c r="C145" s="823" t="s">
        <v>1181</v>
      </c>
      <c r="D145" s="605">
        <f>D140</f>
        <v>38.807999999999993</v>
      </c>
      <c r="E145" s="605"/>
      <c r="F145" s="794"/>
      <c r="G145" s="802"/>
    </row>
    <row r="146" spans="1:41" s="795" customFormat="1" ht="17.25" x14ac:dyDescent="0.25">
      <c r="A146" s="605"/>
      <c r="B146" s="605" t="s">
        <v>919</v>
      </c>
      <c r="C146" s="823" t="s">
        <v>1181</v>
      </c>
      <c r="D146" s="605">
        <f>D127*2*0.2+(D133)*(2.1*0.9)+D135*(1.2*1)</f>
        <v>14.610000000000001</v>
      </c>
      <c r="E146" s="605"/>
      <c r="F146" s="794"/>
      <c r="G146" s="802"/>
    </row>
    <row r="147" spans="1:41" s="795" customFormat="1" ht="17.25" x14ac:dyDescent="0.25">
      <c r="A147" s="605"/>
      <c r="B147" s="605" t="s">
        <v>920</v>
      </c>
      <c r="C147" s="823" t="s">
        <v>1181</v>
      </c>
      <c r="D147" s="605">
        <f>D134*(2.1*0.9)+D143*0.2</f>
        <v>2.7300000000000004</v>
      </c>
      <c r="E147" s="605"/>
      <c r="F147" s="794"/>
      <c r="G147" s="802"/>
    </row>
    <row r="148" spans="1:41" s="795" customFormat="1" ht="17.25" x14ac:dyDescent="0.25">
      <c r="A148" s="605"/>
      <c r="B148" s="605" t="s">
        <v>921</v>
      </c>
      <c r="C148" s="823" t="s">
        <v>1181</v>
      </c>
      <c r="D148" s="605">
        <f>D142</f>
        <v>6.7200000000000006</v>
      </c>
      <c r="E148" s="605"/>
      <c r="F148" s="794"/>
      <c r="G148" s="802"/>
    </row>
    <row r="149" spans="1:41" s="795" customFormat="1" x14ac:dyDescent="0.25">
      <c r="A149" s="870" t="s">
        <v>1186</v>
      </c>
      <c r="B149" s="861"/>
      <c r="C149" s="861"/>
      <c r="D149" s="861"/>
      <c r="E149" s="861"/>
      <c r="F149" s="862"/>
      <c r="G149" s="824">
        <f>SUM(G145:G148)+G143+G142+G141+G140+G138+G137+G135+G134+G133+G131</f>
        <v>0</v>
      </c>
    </row>
    <row r="150" spans="1:41" s="795" customFormat="1" ht="43.5" customHeight="1" x14ac:dyDescent="0.25">
      <c r="A150" s="625" t="s">
        <v>1155</v>
      </c>
      <c r="B150" s="605" t="s">
        <v>1182</v>
      </c>
      <c r="C150" s="605" t="s">
        <v>133</v>
      </c>
      <c r="D150" s="605">
        <v>1</v>
      </c>
      <c r="E150" s="605"/>
      <c r="F150" s="794"/>
      <c r="G150" s="801"/>
    </row>
    <row r="151" spans="1:41" s="795" customFormat="1" ht="48" customHeight="1" x14ac:dyDescent="0.25">
      <c r="A151" s="625" t="s">
        <v>1156</v>
      </c>
      <c r="B151" s="605" t="s">
        <v>925</v>
      </c>
      <c r="C151" s="605" t="s">
        <v>133</v>
      </c>
      <c r="D151" s="605">
        <v>1</v>
      </c>
      <c r="E151" s="605"/>
      <c r="F151" s="794"/>
      <c r="G151" s="801"/>
      <c r="K151" s="834"/>
    </row>
    <row r="152" spans="1:41" s="795" customFormat="1" ht="21" customHeight="1" x14ac:dyDescent="0.25">
      <c r="A152" s="861" t="s">
        <v>1187</v>
      </c>
      <c r="B152" s="861"/>
      <c r="C152" s="861"/>
      <c r="D152" s="861"/>
      <c r="E152" s="861"/>
      <c r="F152" s="862"/>
      <c r="G152" s="824">
        <f>SUM(G150:G151)</f>
        <v>0</v>
      </c>
    </row>
    <row r="153" spans="1:41" s="795" customFormat="1" ht="21" customHeight="1" x14ac:dyDescent="0.25">
      <c r="A153" s="861" t="s">
        <v>1188</v>
      </c>
      <c r="B153" s="861"/>
      <c r="C153" s="861"/>
      <c r="D153" s="861"/>
      <c r="E153" s="861"/>
      <c r="F153" s="862"/>
      <c r="G153" s="824">
        <f>G152+G149+G129+G120+G116</f>
        <v>0</v>
      </c>
    </row>
    <row r="154" spans="1:41" s="800" customFormat="1" x14ac:dyDescent="0.25">
      <c r="A154" s="863" t="s">
        <v>1189</v>
      </c>
      <c r="B154" s="864"/>
      <c r="C154" s="865"/>
      <c r="D154" s="797" t="s">
        <v>642</v>
      </c>
      <c r="E154" s="798">
        <v>2</v>
      </c>
      <c r="F154" s="799">
        <f>E154*G153*1400</f>
        <v>0</v>
      </c>
      <c r="G154" s="825">
        <f>F154/1400</f>
        <v>0</v>
      </c>
      <c r="H154" s="796"/>
      <c r="I154" s="796"/>
      <c r="J154" s="796"/>
      <c r="K154" s="796"/>
      <c r="L154" s="796"/>
      <c r="M154" s="796"/>
      <c r="N154" s="796"/>
      <c r="O154" s="796"/>
      <c r="P154" s="796"/>
      <c r="Q154" s="796"/>
      <c r="R154" s="796"/>
      <c r="S154" s="796"/>
      <c r="T154" s="796"/>
      <c r="U154" s="796"/>
      <c r="V154" s="796"/>
      <c r="W154" s="796"/>
      <c r="X154" s="796"/>
      <c r="Y154" s="796"/>
      <c r="Z154" s="796"/>
      <c r="AA154" s="796"/>
      <c r="AB154" s="796"/>
      <c r="AC154" s="796"/>
      <c r="AD154" s="796"/>
      <c r="AE154" s="796"/>
      <c r="AF154" s="796"/>
      <c r="AG154" s="796"/>
      <c r="AH154" s="796"/>
      <c r="AI154" s="796"/>
      <c r="AJ154" s="796"/>
      <c r="AK154" s="796"/>
      <c r="AL154" s="796"/>
      <c r="AM154" s="796"/>
      <c r="AN154" s="796"/>
      <c r="AO154" s="796"/>
    </row>
    <row r="155" spans="1:41" s="572" customFormat="1" ht="15" x14ac:dyDescent="0.2">
      <c r="A155" s="620"/>
      <c r="B155" s="625"/>
      <c r="C155" s="602"/>
      <c r="D155" s="621"/>
      <c r="E155" s="599"/>
      <c r="F155" s="752"/>
      <c r="G155" s="803"/>
    </row>
    <row r="156" spans="1:41" s="572" customFormat="1" x14ac:dyDescent="0.25">
      <c r="A156" s="587"/>
      <c r="B156" s="631"/>
      <c r="C156" s="589"/>
      <c r="D156" s="590"/>
      <c r="E156" s="591"/>
      <c r="F156" s="744"/>
      <c r="G156" s="757"/>
    </row>
    <row r="157" spans="1:41" ht="20.25" x14ac:dyDescent="0.3">
      <c r="A157" s="515"/>
      <c r="B157" s="866" t="s">
        <v>1190</v>
      </c>
      <c r="C157" s="867"/>
      <c r="D157" s="867"/>
      <c r="E157" s="868"/>
      <c r="F157" s="841">
        <f>G157*1400</f>
        <v>0</v>
      </c>
      <c r="G157" s="835">
        <f>G154+G104+G87+G47+G38+G23</f>
        <v>0</v>
      </c>
    </row>
    <row r="158" spans="1:41" customFormat="1" ht="20.25" x14ac:dyDescent="0.3">
      <c r="A158" s="521"/>
      <c r="B158" s="522" t="s">
        <v>402</v>
      </c>
      <c r="C158" s="521"/>
      <c r="D158" s="521"/>
      <c r="E158" s="521"/>
      <c r="F158" s="838">
        <f>F157*18%</f>
        <v>0</v>
      </c>
      <c r="G158" s="836">
        <f>G157*18%</f>
        <v>0</v>
      </c>
    </row>
    <row r="159" spans="1:41" customFormat="1" ht="20.25" x14ac:dyDescent="0.3">
      <c r="A159" s="524"/>
      <c r="B159" s="525" t="s">
        <v>403</v>
      </c>
      <c r="C159" s="524"/>
      <c r="D159" s="524"/>
      <c r="E159" s="524"/>
      <c r="F159" s="839">
        <f>F157+F158</f>
        <v>0</v>
      </c>
      <c r="G159" s="837">
        <f>F159/1400</f>
        <v>0</v>
      </c>
    </row>
  </sheetData>
  <mergeCells count="29">
    <mergeCell ref="D12:G15"/>
    <mergeCell ref="G16:G17"/>
    <mergeCell ref="E16:E17"/>
    <mergeCell ref="F16:F17"/>
    <mergeCell ref="B12:C12"/>
    <mergeCell ref="B14:C14"/>
    <mergeCell ref="B13:C13"/>
    <mergeCell ref="A86:F86"/>
    <mergeCell ref="B89:G89"/>
    <mergeCell ref="B103:E103"/>
    <mergeCell ref="D16:D17"/>
    <mergeCell ref="B51:F51"/>
    <mergeCell ref="A66:F66"/>
    <mergeCell ref="B77:F77"/>
    <mergeCell ref="B38:E38"/>
    <mergeCell ref="B47:E47"/>
    <mergeCell ref="A23:E23"/>
    <mergeCell ref="A16:A17"/>
    <mergeCell ref="B16:B17"/>
    <mergeCell ref="C16:C17"/>
    <mergeCell ref="A152:F152"/>
    <mergeCell ref="A153:F153"/>
    <mergeCell ref="A154:C154"/>
    <mergeCell ref="B157:E157"/>
    <mergeCell ref="A106:G106"/>
    <mergeCell ref="A116:F116"/>
    <mergeCell ref="A120:F120"/>
    <mergeCell ref="A129:F129"/>
    <mergeCell ref="A149:F149"/>
  </mergeCells>
  <phoneticPr fontId="44"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332"/>
  <sheetViews>
    <sheetView topLeftCell="A143" zoomScale="70" zoomScaleNormal="70" workbookViewId="0">
      <selection activeCell="A296" sqref="A296:XFD311"/>
    </sheetView>
  </sheetViews>
  <sheetFormatPr defaultRowHeight="15" x14ac:dyDescent="0.25"/>
  <cols>
    <col min="2" max="2" width="85.42578125" customWidth="1"/>
    <col min="6" max="6" width="15.85546875" customWidth="1"/>
  </cols>
  <sheetData>
    <row r="1" spans="1:6" s="572" customFormat="1" x14ac:dyDescent="0.25">
      <c r="A1" s="587">
        <v>2.4</v>
      </c>
      <c r="B1" s="588" t="s">
        <v>1046</v>
      </c>
      <c r="C1" s="589"/>
      <c r="D1" s="590"/>
      <c r="E1" s="591"/>
      <c r="F1" s="592"/>
    </row>
    <row r="2" spans="1:6" s="572" customFormat="1" ht="16.5" x14ac:dyDescent="0.25">
      <c r="A2" s="593" t="s">
        <v>974</v>
      </c>
      <c r="B2" s="600" t="s">
        <v>55</v>
      </c>
      <c r="C2" s="589" t="s">
        <v>950</v>
      </c>
      <c r="D2" s="607">
        <f>12*12</f>
        <v>144</v>
      </c>
      <c r="E2" s="596">
        <v>1000</v>
      </c>
      <c r="F2" s="597">
        <f>D2*E2</f>
        <v>144000</v>
      </c>
    </row>
    <row r="3" spans="1:6" s="572" customFormat="1" ht="16.5" x14ac:dyDescent="0.25">
      <c r="A3" s="593" t="s">
        <v>975</v>
      </c>
      <c r="B3" s="600" t="s">
        <v>56</v>
      </c>
      <c r="C3" s="589" t="s">
        <v>951</v>
      </c>
      <c r="D3" s="607">
        <f>((1.5+5)/2*3*5)*50%</f>
        <v>24.375</v>
      </c>
      <c r="E3" s="596">
        <v>2000</v>
      </c>
      <c r="F3" s="597">
        <f>D3*E3</f>
        <v>48750</v>
      </c>
    </row>
    <row r="4" spans="1:6" s="572" customFormat="1" ht="16.5" x14ac:dyDescent="0.25">
      <c r="A4" s="593" t="s">
        <v>976</v>
      </c>
      <c r="B4" s="600" t="s">
        <v>952</v>
      </c>
      <c r="C4" s="589" t="s">
        <v>951</v>
      </c>
      <c r="D4" s="607">
        <f>((1.5+5)/2*3*5)*50%</f>
        <v>24.375</v>
      </c>
      <c r="E4" s="599">
        <v>2500</v>
      </c>
      <c r="F4" s="601">
        <f>E4*D4</f>
        <v>60937.5</v>
      </c>
    </row>
    <row r="5" spans="1:6" s="572" customFormat="1" ht="16.5" x14ac:dyDescent="0.25">
      <c r="A5" s="593" t="s">
        <v>977</v>
      </c>
      <c r="B5" s="600" t="s">
        <v>953</v>
      </c>
      <c r="C5" s="589" t="s">
        <v>951</v>
      </c>
      <c r="D5" s="607">
        <f>3*2</f>
        <v>6</v>
      </c>
      <c r="E5" s="599">
        <v>3000</v>
      </c>
      <c r="F5" s="601">
        <f>E5*D5</f>
        <v>18000</v>
      </c>
    </row>
    <row r="6" spans="1:6" s="572" customFormat="1" ht="42.75" x14ac:dyDescent="0.25">
      <c r="A6" s="593" t="s">
        <v>978</v>
      </c>
      <c r="B6" s="605" t="s">
        <v>954</v>
      </c>
      <c r="C6" s="602" t="s">
        <v>11</v>
      </c>
      <c r="D6" s="607">
        <f>(1.48+2.085)*0.5*0.6*3</f>
        <v>3.2084999999999999</v>
      </c>
      <c r="E6" s="599">
        <v>12000</v>
      </c>
      <c r="F6" s="604">
        <f t="shared" ref="F6:F12" si="0">D6*E6</f>
        <v>38502</v>
      </c>
    </row>
    <row r="7" spans="1:6" s="572" customFormat="1" ht="28.5" x14ac:dyDescent="0.25">
      <c r="A7" s="593" t="s">
        <v>979</v>
      </c>
      <c r="B7" s="600" t="s">
        <v>57</v>
      </c>
      <c r="C7" s="589" t="s">
        <v>951</v>
      </c>
      <c r="D7" s="607">
        <f>(4.93*3)*0.3</f>
        <v>4.4369999999999994</v>
      </c>
      <c r="E7" s="596">
        <v>50000</v>
      </c>
      <c r="F7" s="597">
        <f t="shared" si="0"/>
        <v>221849.99999999997</v>
      </c>
    </row>
    <row r="8" spans="1:6" s="572" customFormat="1" ht="28.5" x14ac:dyDescent="0.25">
      <c r="A8" s="593" t="s">
        <v>980</v>
      </c>
      <c r="B8" s="600" t="s">
        <v>58</v>
      </c>
      <c r="C8" s="589" t="s">
        <v>950</v>
      </c>
      <c r="D8" s="607">
        <f>4.5*3*0.2</f>
        <v>2.7</v>
      </c>
      <c r="E8" s="596">
        <v>5000</v>
      </c>
      <c r="F8" s="597">
        <f t="shared" si="0"/>
        <v>13500</v>
      </c>
    </row>
    <row r="9" spans="1:6" s="572" customFormat="1" ht="16.5" x14ac:dyDescent="0.25">
      <c r="A9" s="593" t="s">
        <v>981</v>
      </c>
      <c r="B9" s="600" t="s">
        <v>59</v>
      </c>
      <c r="C9" s="589" t="s">
        <v>951</v>
      </c>
      <c r="D9" s="607">
        <f>(3.18+2.5)*0.3*1*4</f>
        <v>6.8159999999999998</v>
      </c>
      <c r="E9" s="596">
        <v>50000</v>
      </c>
      <c r="F9" s="597">
        <f t="shared" si="0"/>
        <v>340800</v>
      </c>
    </row>
    <row r="10" spans="1:6" s="572" customFormat="1" ht="16.5" x14ac:dyDescent="0.25">
      <c r="A10" s="593" t="s">
        <v>982</v>
      </c>
      <c r="B10" s="600" t="s">
        <v>60</v>
      </c>
      <c r="C10" s="589" t="s">
        <v>951</v>
      </c>
      <c r="D10" s="607">
        <f>(D3+D4)-D6-D8-D9</f>
        <v>36.025499999999994</v>
      </c>
      <c r="E10" s="596">
        <v>1500</v>
      </c>
      <c r="F10" s="597">
        <f t="shared" si="0"/>
        <v>54038.249999999993</v>
      </c>
    </row>
    <row r="11" spans="1:6" s="572" customFormat="1" ht="28.5" x14ac:dyDescent="0.25">
      <c r="A11" s="593" t="s">
        <v>983</v>
      </c>
      <c r="B11" s="600" t="s">
        <v>61</v>
      </c>
      <c r="C11" s="589" t="s">
        <v>951</v>
      </c>
      <c r="D11" s="607">
        <f>(12.2+8+8)*(0.8+0.4)/2*0.8</f>
        <v>13.536000000000001</v>
      </c>
      <c r="E11" s="596">
        <v>1500</v>
      </c>
      <c r="F11" s="597">
        <f t="shared" si="0"/>
        <v>20304.000000000004</v>
      </c>
    </row>
    <row r="12" spans="1:6" s="572" customFormat="1" ht="28.5" x14ac:dyDescent="0.25">
      <c r="A12" s="593" t="s">
        <v>984</v>
      </c>
      <c r="B12" s="605" t="s">
        <v>955</v>
      </c>
      <c r="C12" s="602" t="s">
        <v>951</v>
      </c>
      <c r="D12" s="607">
        <f>(12.1+12)*2</f>
        <v>48.2</v>
      </c>
      <c r="E12" s="599">
        <v>1500</v>
      </c>
      <c r="F12" s="604">
        <f t="shared" si="0"/>
        <v>72300</v>
      </c>
    </row>
    <row r="13" spans="1:6" s="572" customFormat="1" ht="28.5" x14ac:dyDescent="0.25">
      <c r="A13" s="593" t="s">
        <v>985</v>
      </c>
      <c r="B13" s="605" t="s">
        <v>63</v>
      </c>
      <c r="C13" s="602" t="s">
        <v>11</v>
      </c>
      <c r="D13" s="607">
        <f>3*2*1</f>
        <v>6</v>
      </c>
      <c r="E13" s="599">
        <v>600</v>
      </c>
      <c r="F13" s="604">
        <f>D13*E13</f>
        <v>3600</v>
      </c>
    </row>
    <row r="14" spans="1:6" s="572" customFormat="1" ht="16.5" x14ac:dyDescent="0.25">
      <c r="A14" s="593" t="s">
        <v>986</v>
      </c>
      <c r="B14" s="600" t="s">
        <v>64</v>
      </c>
      <c r="C14" s="589" t="s">
        <v>950</v>
      </c>
      <c r="D14" s="607">
        <f>D2</f>
        <v>144</v>
      </c>
      <c r="E14" s="596">
        <v>500</v>
      </c>
      <c r="F14" s="597">
        <f>D14*E14</f>
        <v>72000</v>
      </c>
    </row>
    <row r="15" spans="1:6" s="572" customFormat="1" x14ac:dyDescent="0.25">
      <c r="A15" s="662"/>
      <c r="B15" s="663" t="s">
        <v>1047</v>
      </c>
      <c r="C15" s="664"/>
      <c r="D15" s="665"/>
      <c r="E15" s="666"/>
      <c r="F15" s="667">
        <f>SUM(F2:F14)</f>
        <v>1108581.75</v>
      </c>
    </row>
    <row r="16" spans="1:6" s="572" customFormat="1" x14ac:dyDescent="0.25">
      <c r="A16" s="668"/>
      <c r="B16" s="669"/>
      <c r="C16" s="670"/>
      <c r="D16" s="671"/>
      <c r="E16" s="672"/>
      <c r="F16" s="592"/>
    </row>
    <row r="17" spans="1:6" s="572" customFormat="1" x14ac:dyDescent="0.25">
      <c r="A17" s="662"/>
      <c r="B17" s="663" t="s">
        <v>1048</v>
      </c>
      <c r="C17" s="664"/>
      <c r="D17" s="665"/>
      <c r="E17" s="666"/>
      <c r="F17" s="673">
        <f>F15</f>
        <v>1108581.75</v>
      </c>
    </row>
    <row r="18" spans="1:6" s="572" customFormat="1" x14ac:dyDescent="0.25">
      <c r="A18" s="662"/>
      <c r="B18" s="663"/>
      <c r="C18" s="664"/>
      <c r="D18" s="665"/>
      <c r="E18" s="666"/>
      <c r="F18" s="673"/>
    </row>
    <row r="19" spans="1:6" s="572" customFormat="1" x14ac:dyDescent="0.25">
      <c r="A19" s="587">
        <v>2.4</v>
      </c>
      <c r="B19" s="588" t="s">
        <v>1049</v>
      </c>
      <c r="C19" s="589"/>
      <c r="D19" s="590"/>
      <c r="E19" s="591"/>
      <c r="F19" s="592"/>
    </row>
    <row r="20" spans="1:6" s="572" customFormat="1" ht="16.5" x14ac:dyDescent="0.25">
      <c r="A20" s="593" t="s">
        <v>974</v>
      </c>
      <c r="B20" s="600" t="s">
        <v>55</v>
      </c>
      <c r="C20" s="589" t="s">
        <v>950</v>
      </c>
      <c r="D20" s="607">
        <f>8*8</f>
        <v>64</v>
      </c>
      <c r="E20" s="596">
        <v>1000</v>
      </c>
      <c r="F20" s="597">
        <f>D20*E20</f>
        <v>64000</v>
      </c>
    </row>
    <row r="21" spans="1:6" s="572" customFormat="1" ht="16.5" x14ac:dyDescent="0.25">
      <c r="A21" s="593" t="s">
        <v>975</v>
      </c>
      <c r="B21" s="600" t="s">
        <v>56</v>
      </c>
      <c r="C21" s="589" t="s">
        <v>951</v>
      </c>
      <c r="D21" s="607">
        <f>(7*6)*4*50%</f>
        <v>84</v>
      </c>
      <c r="E21" s="596">
        <v>2000</v>
      </c>
      <c r="F21" s="597">
        <f>D21*E21</f>
        <v>168000</v>
      </c>
    </row>
    <row r="22" spans="1:6" s="572" customFormat="1" ht="16.5" x14ac:dyDescent="0.25">
      <c r="A22" s="593" t="s">
        <v>976</v>
      </c>
      <c r="B22" s="600" t="s">
        <v>952</v>
      </c>
      <c r="C22" s="589" t="s">
        <v>951</v>
      </c>
      <c r="D22" s="607">
        <f>(7*6)*0.5</f>
        <v>21</v>
      </c>
      <c r="E22" s="599">
        <v>2500</v>
      </c>
      <c r="F22" s="601">
        <f>E22*D22</f>
        <v>52500</v>
      </c>
    </row>
    <row r="23" spans="1:6" s="572" customFormat="1" ht="16.5" x14ac:dyDescent="0.25">
      <c r="A23" s="593" t="s">
        <v>977</v>
      </c>
      <c r="B23" s="600" t="s">
        <v>953</v>
      </c>
      <c r="C23" s="589" t="s">
        <v>951</v>
      </c>
      <c r="D23" s="607">
        <f>(7*6)*0.6</f>
        <v>25.2</v>
      </c>
      <c r="E23" s="599">
        <v>3000</v>
      </c>
      <c r="F23" s="601">
        <f>E23*D23</f>
        <v>75600</v>
      </c>
    </row>
    <row r="24" spans="1:6" s="572" customFormat="1" ht="42.75" x14ac:dyDescent="0.25">
      <c r="A24" s="593" t="s">
        <v>978</v>
      </c>
      <c r="B24" s="605" t="s">
        <v>954</v>
      </c>
      <c r="C24" s="602" t="s">
        <v>11</v>
      </c>
      <c r="D24" s="606">
        <v>8</v>
      </c>
      <c r="E24" s="599">
        <v>12000</v>
      </c>
      <c r="F24" s="604">
        <f t="shared" ref="F24:F30" si="1">D24*E24</f>
        <v>96000</v>
      </c>
    </row>
    <row r="25" spans="1:6" s="572" customFormat="1" ht="28.5" x14ac:dyDescent="0.25">
      <c r="A25" s="593" t="s">
        <v>979</v>
      </c>
      <c r="B25" s="600" t="s">
        <v>57</v>
      </c>
      <c r="C25" s="589" t="s">
        <v>951</v>
      </c>
      <c r="D25" s="607">
        <f>(4*2)*0.6</f>
        <v>4.8</v>
      </c>
      <c r="E25" s="596">
        <v>50000</v>
      </c>
      <c r="F25" s="597">
        <f t="shared" si="1"/>
        <v>240000</v>
      </c>
    </row>
    <row r="26" spans="1:6" s="572" customFormat="1" ht="28.5" x14ac:dyDescent="0.25">
      <c r="A26" s="593" t="s">
        <v>980</v>
      </c>
      <c r="B26" s="600" t="s">
        <v>58</v>
      </c>
      <c r="C26" s="589" t="s">
        <v>950</v>
      </c>
      <c r="D26" s="607">
        <f>4.1*2*0.2*3</f>
        <v>4.92</v>
      </c>
      <c r="E26" s="596">
        <v>5000</v>
      </c>
      <c r="F26" s="597">
        <f t="shared" si="1"/>
        <v>24600</v>
      </c>
    </row>
    <row r="27" spans="1:6" s="572" customFormat="1" ht="16.5" x14ac:dyDescent="0.25">
      <c r="A27" s="593" t="s">
        <v>981</v>
      </c>
      <c r="B27" s="600" t="s">
        <v>59</v>
      </c>
      <c r="C27" s="589" t="s">
        <v>951</v>
      </c>
      <c r="D27" s="607">
        <f>(4*4)*0.3</f>
        <v>4.8</v>
      </c>
      <c r="E27" s="596">
        <v>50000</v>
      </c>
      <c r="F27" s="597">
        <f t="shared" si="1"/>
        <v>240000</v>
      </c>
    </row>
    <row r="28" spans="1:6" s="572" customFormat="1" ht="16.5" x14ac:dyDescent="0.25">
      <c r="A28" s="593" t="s">
        <v>982</v>
      </c>
      <c r="B28" s="600" t="s">
        <v>60</v>
      </c>
      <c r="C28" s="589" t="s">
        <v>951</v>
      </c>
      <c r="D28" s="607">
        <f>4.1*4*0.2</f>
        <v>3.28</v>
      </c>
      <c r="E28" s="596">
        <v>1500</v>
      </c>
      <c r="F28" s="597">
        <f t="shared" si="1"/>
        <v>4920</v>
      </c>
    </row>
    <row r="29" spans="1:6" s="572" customFormat="1" ht="28.5" x14ac:dyDescent="0.25">
      <c r="A29" s="593" t="s">
        <v>983</v>
      </c>
      <c r="B29" s="600" t="s">
        <v>61</v>
      </c>
      <c r="C29" s="589" t="s">
        <v>951</v>
      </c>
      <c r="D29" s="607">
        <f>D21+D22+D23-D25-D27-D28</f>
        <v>117.32</v>
      </c>
      <c r="E29" s="596">
        <v>1500</v>
      </c>
      <c r="F29" s="597">
        <f t="shared" si="1"/>
        <v>175980</v>
      </c>
    </row>
    <row r="30" spans="1:6" s="572" customFormat="1" ht="28.5" x14ac:dyDescent="0.25">
      <c r="A30" s="593" t="s">
        <v>984</v>
      </c>
      <c r="B30" s="605" t="s">
        <v>955</v>
      </c>
      <c r="C30" s="602" t="s">
        <v>951</v>
      </c>
      <c r="D30" s="607">
        <f>8*4*0.8*0.5</f>
        <v>12.8</v>
      </c>
      <c r="E30" s="599">
        <v>1500</v>
      </c>
      <c r="F30" s="604">
        <f t="shared" si="1"/>
        <v>19200</v>
      </c>
    </row>
    <row r="31" spans="1:6" s="572" customFormat="1" ht="28.5" x14ac:dyDescent="0.25">
      <c r="A31" s="593" t="s">
        <v>985</v>
      </c>
      <c r="B31" s="605" t="s">
        <v>63</v>
      </c>
      <c r="C31" s="602" t="s">
        <v>11</v>
      </c>
      <c r="D31" s="607">
        <f>8*4</f>
        <v>32</v>
      </c>
      <c r="E31" s="599">
        <v>600</v>
      </c>
      <c r="F31" s="604">
        <f>D31*E31</f>
        <v>19200</v>
      </c>
    </row>
    <row r="32" spans="1:6" s="572" customFormat="1" ht="16.5" x14ac:dyDescent="0.25">
      <c r="A32" s="593" t="s">
        <v>986</v>
      </c>
      <c r="B32" s="600" t="s">
        <v>64</v>
      </c>
      <c r="C32" s="589" t="s">
        <v>950</v>
      </c>
      <c r="D32" s="607">
        <f>D20</f>
        <v>64</v>
      </c>
      <c r="E32" s="596">
        <v>500</v>
      </c>
      <c r="F32" s="597">
        <f>D32*E32</f>
        <v>32000</v>
      </c>
    </row>
    <row r="33" spans="1:6" s="572" customFormat="1" x14ac:dyDescent="0.25">
      <c r="A33" s="662"/>
      <c r="B33" s="663" t="s">
        <v>1047</v>
      </c>
      <c r="C33" s="664"/>
      <c r="D33" s="665"/>
      <c r="E33" s="666"/>
      <c r="F33" s="667">
        <f>SUM(F20:F32)</f>
        <v>1212000</v>
      </c>
    </row>
    <row r="34" spans="1:6" s="572" customFormat="1" x14ac:dyDescent="0.25">
      <c r="A34" s="668"/>
      <c r="B34" s="669"/>
      <c r="C34" s="670"/>
      <c r="D34" s="671"/>
      <c r="E34" s="672"/>
      <c r="F34" s="592"/>
    </row>
    <row r="35" spans="1:6" s="572" customFormat="1" x14ac:dyDescent="0.25">
      <c r="A35" s="662"/>
      <c r="B35" s="663" t="s">
        <v>1048</v>
      </c>
      <c r="C35" s="664"/>
      <c r="D35" s="665"/>
      <c r="E35" s="666"/>
      <c r="F35" s="673">
        <f>F33</f>
        <v>1212000</v>
      </c>
    </row>
    <row r="36" spans="1:6" s="572" customFormat="1" x14ac:dyDescent="0.25">
      <c r="A36" s="662"/>
      <c r="B36" s="663"/>
      <c r="C36" s="664"/>
      <c r="D36" s="665"/>
      <c r="E36" s="666"/>
      <c r="F36" s="673"/>
    </row>
    <row r="37" spans="1:6" s="572" customFormat="1" x14ac:dyDescent="0.25">
      <c r="A37" s="587">
        <v>2.4</v>
      </c>
      <c r="B37" s="588" t="s">
        <v>1050</v>
      </c>
      <c r="C37" s="589"/>
      <c r="D37" s="590"/>
      <c r="E37" s="591"/>
      <c r="F37" s="592"/>
    </row>
    <row r="38" spans="1:6" s="572" customFormat="1" ht="16.5" x14ac:dyDescent="0.25">
      <c r="A38" s="593" t="s">
        <v>974</v>
      </c>
      <c r="B38" s="600" t="s">
        <v>55</v>
      </c>
      <c r="C38" s="589" t="s">
        <v>950</v>
      </c>
      <c r="D38" s="607">
        <f>12*12.1</f>
        <v>145.19999999999999</v>
      </c>
      <c r="E38" s="596">
        <v>1000</v>
      </c>
      <c r="F38" s="597">
        <f>D38*E38</f>
        <v>145200</v>
      </c>
    </row>
    <row r="39" spans="1:6" s="572" customFormat="1" ht="16.5" x14ac:dyDescent="0.25">
      <c r="A39" s="593" t="s">
        <v>975</v>
      </c>
      <c r="B39" s="600" t="s">
        <v>56</v>
      </c>
      <c r="C39" s="589" t="s">
        <v>951</v>
      </c>
      <c r="D39" s="607">
        <f>((1.5+5)/2*3*5)*50%</f>
        <v>24.375</v>
      </c>
      <c r="E39" s="596">
        <v>2000</v>
      </c>
      <c r="F39" s="597">
        <f>D39*E39</f>
        <v>48750</v>
      </c>
    </row>
    <row r="40" spans="1:6" s="572" customFormat="1" ht="16.5" x14ac:dyDescent="0.25">
      <c r="A40" s="593" t="s">
        <v>976</v>
      </c>
      <c r="B40" s="600" t="s">
        <v>952</v>
      </c>
      <c r="C40" s="589" t="s">
        <v>951</v>
      </c>
      <c r="D40" s="607">
        <f>((1.5+5)/2*3*5)*50%</f>
        <v>24.375</v>
      </c>
      <c r="E40" s="599">
        <v>2500</v>
      </c>
      <c r="F40" s="601">
        <f>E40*D40</f>
        <v>60937.5</v>
      </c>
    </row>
    <row r="41" spans="1:6" s="572" customFormat="1" ht="16.5" x14ac:dyDescent="0.25">
      <c r="A41" s="593" t="s">
        <v>977</v>
      </c>
      <c r="B41" s="600" t="s">
        <v>953</v>
      </c>
      <c r="C41" s="589" t="s">
        <v>951</v>
      </c>
      <c r="D41" s="607">
        <f>3*2</f>
        <v>6</v>
      </c>
      <c r="E41" s="599">
        <v>3000</v>
      </c>
      <c r="F41" s="601">
        <f>E41*D41</f>
        <v>18000</v>
      </c>
    </row>
    <row r="42" spans="1:6" s="572" customFormat="1" ht="42.75" x14ac:dyDescent="0.25">
      <c r="A42" s="593" t="s">
        <v>978</v>
      </c>
      <c r="B42" s="605" t="s">
        <v>954</v>
      </c>
      <c r="C42" s="602" t="s">
        <v>11</v>
      </c>
      <c r="D42" s="607">
        <f>(1.48+2.085)*0.5*0.6*3</f>
        <v>3.2084999999999999</v>
      </c>
      <c r="E42" s="599">
        <v>12000</v>
      </c>
      <c r="F42" s="604">
        <f t="shared" ref="F42:F48" si="2">D42*E42</f>
        <v>38502</v>
      </c>
    </row>
    <row r="43" spans="1:6" s="572" customFormat="1" ht="28.5" x14ac:dyDescent="0.25">
      <c r="A43" s="593" t="s">
        <v>979</v>
      </c>
      <c r="B43" s="600" t="s">
        <v>57</v>
      </c>
      <c r="C43" s="589" t="s">
        <v>951</v>
      </c>
      <c r="D43" s="607">
        <f>(5.93*3)*0.3</f>
        <v>5.3369999999999997</v>
      </c>
      <c r="E43" s="596">
        <v>50000</v>
      </c>
      <c r="F43" s="597">
        <f t="shared" si="2"/>
        <v>266850</v>
      </c>
    </row>
    <row r="44" spans="1:6" s="572" customFormat="1" ht="28.5" x14ac:dyDescent="0.25">
      <c r="A44" s="593" t="s">
        <v>980</v>
      </c>
      <c r="B44" s="600" t="s">
        <v>58</v>
      </c>
      <c r="C44" s="589" t="s">
        <v>950</v>
      </c>
      <c r="D44" s="607">
        <f>3.5*3*0.2</f>
        <v>2.1</v>
      </c>
      <c r="E44" s="596">
        <v>5000</v>
      </c>
      <c r="F44" s="597">
        <f t="shared" si="2"/>
        <v>10500</v>
      </c>
    </row>
    <row r="45" spans="1:6" s="572" customFormat="1" ht="16.5" x14ac:dyDescent="0.25">
      <c r="A45" s="593" t="s">
        <v>981</v>
      </c>
      <c r="B45" s="600" t="s">
        <v>59</v>
      </c>
      <c r="C45" s="589" t="s">
        <v>951</v>
      </c>
      <c r="D45" s="607">
        <f>(3.18+2.5)*0.5*1*4</f>
        <v>11.36</v>
      </c>
      <c r="E45" s="596">
        <v>50000</v>
      </c>
      <c r="F45" s="597">
        <f t="shared" si="2"/>
        <v>568000</v>
      </c>
    </row>
    <row r="46" spans="1:6" s="572" customFormat="1" ht="16.5" x14ac:dyDescent="0.25">
      <c r="A46" s="593" t="s">
        <v>982</v>
      </c>
      <c r="B46" s="600" t="s">
        <v>60</v>
      </c>
      <c r="C46" s="589" t="s">
        <v>951</v>
      </c>
      <c r="D46" s="607">
        <f>(D39+D40)-D42-D44-D45</f>
        <v>32.081499999999998</v>
      </c>
      <c r="E46" s="596">
        <v>1500</v>
      </c>
      <c r="F46" s="597">
        <f t="shared" si="2"/>
        <v>48122.25</v>
      </c>
    </row>
    <row r="47" spans="1:6" s="572" customFormat="1" ht="28.5" x14ac:dyDescent="0.25">
      <c r="A47" s="593" t="s">
        <v>983</v>
      </c>
      <c r="B47" s="600" t="s">
        <v>61</v>
      </c>
      <c r="C47" s="589" t="s">
        <v>951</v>
      </c>
      <c r="D47" s="607">
        <f>(12.2+8+8)*(0.8+0.4)/2*0.8</f>
        <v>13.536000000000001</v>
      </c>
      <c r="E47" s="596">
        <v>1500</v>
      </c>
      <c r="F47" s="597">
        <f t="shared" si="2"/>
        <v>20304.000000000004</v>
      </c>
    </row>
    <row r="48" spans="1:6" s="572" customFormat="1" ht="28.5" x14ac:dyDescent="0.25">
      <c r="A48" s="593" t="s">
        <v>984</v>
      </c>
      <c r="B48" s="605" t="s">
        <v>955</v>
      </c>
      <c r="C48" s="602" t="s">
        <v>951</v>
      </c>
      <c r="D48" s="607">
        <f>(12.1+12)*2</f>
        <v>48.2</v>
      </c>
      <c r="E48" s="599">
        <v>1500</v>
      </c>
      <c r="F48" s="604">
        <f t="shared" si="2"/>
        <v>72300</v>
      </c>
    </row>
    <row r="49" spans="1:6" s="572" customFormat="1" ht="28.5" x14ac:dyDescent="0.25">
      <c r="A49" s="593" t="s">
        <v>985</v>
      </c>
      <c r="B49" s="605" t="s">
        <v>63</v>
      </c>
      <c r="C49" s="602" t="s">
        <v>11</v>
      </c>
      <c r="D49" s="607">
        <f>3*2*1</f>
        <v>6</v>
      </c>
      <c r="E49" s="599">
        <v>600</v>
      </c>
      <c r="F49" s="604">
        <f>D49*E49</f>
        <v>3600</v>
      </c>
    </row>
    <row r="50" spans="1:6" s="572" customFormat="1" ht="16.5" x14ac:dyDescent="0.25">
      <c r="A50" s="593" t="s">
        <v>986</v>
      </c>
      <c r="B50" s="600" t="s">
        <v>64</v>
      </c>
      <c r="C50" s="589" t="s">
        <v>950</v>
      </c>
      <c r="D50" s="607">
        <f>D38</f>
        <v>145.19999999999999</v>
      </c>
      <c r="E50" s="596">
        <v>500</v>
      </c>
      <c r="F50" s="597">
        <f>D50*E50</f>
        <v>72600</v>
      </c>
    </row>
    <row r="51" spans="1:6" s="572" customFormat="1" x14ac:dyDescent="0.25">
      <c r="A51" s="662"/>
      <c r="B51" s="663" t="s">
        <v>1047</v>
      </c>
      <c r="C51" s="664"/>
      <c r="D51" s="665"/>
      <c r="E51" s="666"/>
      <c r="F51" s="667">
        <f>SUM(F38:F50)</f>
        <v>1373665.75</v>
      </c>
    </row>
    <row r="52" spans="1:6" s="572" customFormat="1" x14ac:dyDescent="0.25">
      <c r="A52" s="668"/>
      <c r="B52" s="669"/>
      <c r="C52" s="670"/>
      <c r="D52" s="671"/>
      <c r="E52" s="672"/>
      <c r="F52" s="592"/>
    </row>
    <row r="53" spans="1:6" s="572" customFormat="1" x14ac:dyDescent="0.25">
      <c r="A53" s="662"/>
      <c r="B53" s="663" t="s">
        <v>1048</v>
      </c>
      <c r="C53" s="664"/>
      <c r="D53" s="665"/>
      <c r="E53" s="666"/>
      <c r="F53" s="673">
        <f>F51</f>
        <v>1373665.75</v>
      </c>
    </row>
    <row r="54" spans="1:6" s="572" customFormat="1" x14ac:dyDescent="0.25">
      <c r="A54" s="662"/>
      <c r="B54" s="663"/>
      <c r="C54" s="664"/>
      <c r="D54" s="665"/>
      <c r="E54" s="666"/>
      <c r="F54" s="673"/>
    </row>
    <row r="55" spans="1:6" s="572" customFormat="1" x14ac:dyDescent="0.25">
      <c r="A55" s="587">
        <v>2.4</v>
      </c>
      <c r="B55" s="588" t="s">
        <v>1051</v>
      </c>
      <c r="C55" s="589"/>
      <c r="D55" s="590"/>
      <c r="E55" s="591"/>
      <c r="F55" s="592"/>
    </row>
    <row r="56" spans="1:6" s="572" customFormat="1" ht="16.5" x14ac:dyDescent="0.25">
      <c r="A56" s="593" t="s">
        <v>974</v>
      </c>
      <c r="B56" s="600" t="s">
        <v>55</v>
      </c>
      <c r="C56" s="589" t="s">
        <v>950</v>
      </c>
      <c r="D56" s="607">
        <f>(15.9*15.2)</f>
        <v>241.68</v>
      </c>
      <c r="E56" s="596">
        <v>1000</v>
      </c>
      <c r="F56" s="597">
        <f>D56*E56</f>
        <v>241680</v>
      </c>
    </row>
    <row r="57" spans="1:6" s="572" customFormat="1" ht="16.5" x14ac:dyDescent="0.25">
      <c r="A57" s="593" t="s">
        <v>975</v>
      </c>
      <c r="B57" s="600" t="s">
        <v>56</v>
      </c>
      <c r="C57" s="589" t="s">
        <v>951</v>
      </c>
      <c r="D57" s="607">
        <f>D56*0.5</f>
        <v>120.84</v>
      </c>
      <c r="E57" s="596">
        <v>2000</v>
      </c>
      <c r="F57" s="597">
        <f>D57*E57</f>
        <v>241680</v>
      </c>
    </row>
    <row r="58" spans="1:6" s="572" customFormat="1" ht="16.5" x14ac:dyDescent="0.25">
      <c r="A58" s="593" t="s">
        <v>976</v>
      </c>
      <c r="B58" s="600" t="s">
        <v>952</v>
      </c>
      <c r="C58" s="589" t="s">
        <v>951</v>
      </c>
      <c r="D58" s="607">
        <f>D56*0.5</f>
        <v>120.84</v>
      </c>
      <c r="E58" s="599">
        <v>2500</v>
      </c>
      <c r="F58" s="601">
        <f>E58*D58</f>
        <v>302100</v>
      </c>
    </row>
    <row r="59" spans="1:6" s="572" customFormat="1" ht="16.5" x14ac:dyDescent="0.25">
      <c r="A59" s="593" t="s">
        <v>977</v>
      </c>
      <c r="B59" s="600" t="s">
        <v>953</v>
      </c>
      <c r="C59" s="589" t="s">
        <v>951</v>
      </c>
      <c r="D59" s="607">
        <v>36</v>
      </c>
      <c r="E59" s="599">
        <v>3000</v>
      </c>
      <c r="F59" s="601">
        <f>E59*D59</f>
        <v>108000</v>
      </c>
    </row>
    <row r="60" spans="1:6" s="572" customFormat="1" ht="42.75" x14ac:dyDescent="0.25">
      <c r="A60" s="593" t="s">
        <v>978</v>
      </c>
      <c r="B60" s="605" t="s">
        <v>954</v>
      </c>
      <c r="C60" s="602" t="s">
        <v>11</v>
      </c>
      <c r="D60" s="607">
        <f>(1.48+2.085)*0.5*0.6*6</f>
        <v>6.4169999999999998</v>
      </c>
      <c r="E60" s="599">
        <v>12000</v>
      </c>
      <c r="F60" s="604">
        <f t="shared" ref="F60:F66" si="3">D60*E60</f>
        <v>77004</v>
      </c>
    </row>
    <row r="61" spans="1:6" s="572" customFormat="1" ht="28.5" x14ac:dyDescent="0.25">
      <c r="A61" s="593" t="s">
        <v>979</v>
      </c>
      <c r="B61" s="600" t="s">
        <v>57</v>
      </c>
      <c r="C61" s="589" t="s">
        <v>951</v>
      </c>
      <c r="D61" s="607">
        <f>(4.93*1.8)*0.3</f>
        <v>2.6621999999999999</v>
      </c>
      <c r="E61" s="596">
        <v>50000</v>
      </c>
      <c r="F61" s="597">
        <f t="shared" si="3"/>
        <v>133110</v>
      </c>
    </row>
    <row r="62" spans="1:6" s="572" customFormat="1" ht="28.5" x14ac:dyDescent="0.25">
      <c r="A62" s="593" t="s">
        <v>980</v>
      </c>
      <c r="B62" s="600" t="s">
        <v>58</v>
      </c>
      <c r="C62" s="589" t="s">
        <v>950</v>
      </c>
      <c r="D62" s="607">
        <f>4.5*18*0.2</f>
        <v>16.2</v>
      </c>
      <c r="E62" s="596">
        <v>5000</v>
      </c>
      <c r="F62" s="597">
        <f t="shared" si="3"/>
        <v>81000</v>
      </c>
    </row>
    <row r="63" spans="1:6" s="572" customFormat="1" ht="16.5" x14ac:dyDescent="0.25">
      <c r="A63" s="593" t="s">
        <v>981</v>
      </c>
      <c r="B63" s="600" t="s">
        <v>59</v>
      </c>
      <c r="C63" s="589" t="s">
        <v>951</v>
      </c>
      <c r="D63" s="607">
        <f>(3.18+2.5)*0.3*1*1.8</f>
        <v>3.0672000000000001</v>
      </c>
      <c r="E63" s="596">
        <v>50000</v>
      </c>
      <c r="F63" s="597">
        <f t="shared" si="3"/>
        <v>153360</v>
      </c>
    </row>
    <row r="64" spans="1:6" s="572" customFormat="1" ht="16.5" x14ac:dyDescent="0.25">
      <c r="A64" s="593" t="s">
        <v>982</v>
      </c>
      <c r="B64" s="600" t="s">
        <v>60</v>
      </c>
      <c r="C64" s="589" t="s">
        <v>951</v>
      </c>
      <c r="D64" s="607">
        <f>(D57+D58)-D60-D62-D63</f>
        <v>215.9958</v>
      </c>
      <c r="E64" s="596">
        <v>1500</v>
      </c>
      <c r="F64" s="597">
        <f t="shared" si="3"/>
        <v>323993.7</v>
      </c>
    </row>
    <row r="65" spans="1:6" s="572" customFormat="1" ht="28.5" x14ac:dyDescent="0.25">
      <c r="A65" s="593" t="s">
        <v>983</v>
      </c>
      <c r="B65" s="600" t="s">
        <v>61</v>
      </c>
      <c r="C65" s="589" t="s">
        <v>951</v>
      </c>
      <c r="D65" s="607">
        <f>(14.3+14.3+27.3)*(0.8+0.4)/2*0.8</f>
        <v>26.832000000000008</v>
      </c>
      <c r="E65" s="596">
        <v>1500</v>
      </c>
      <c r="F65" s="597">
        <f t="shared" si="3"/>
        <v>40248.000000000015</v>
      </c>
    </row>
    <row r="66" spans="1:6" s="572" customFormat="1" ht="28.5" x14ac:dyDescent="0.25">
      <c r="A66" s="593" t="s">
        <v>984</v>
      </c>
      <c r="B66" s="605" t="s">
        <v>955</v>
      </c>
      <c r="C66" s="602" t="s">
        <v>951</v>
      </c>
      <c r="D66" s="607">
        <f>(21.9+27.2)*2</f>
        <v>98.199999999999989</v>
      </c>
      <c r="E66" s="599">
        <v>1500</v>
      </c>
      <c r="F66" s="604">
        <f t="shared" si="3"/>
        <v>147299.99999999997</v>
      </c>
    </row>
    <row r="67" spans="1:6" s="572" customFormat="1" ht="28.5" x14ac:dyDescent="0.25">
      <c r="A67" s="593" t="s">
        <v>985</v>
      </c>
      <c r="B67" s="605" t="s">
        <v>63</v>
      </c>
      <c r="C67" s="602" t="s">
        <v>11</v>
      </c>
      <c r="D67" s="607">
        <f>6*4*1</f>
        <v>24</v>
      </c>
      <c r="E67" s="599">
        <v>600</v>
      </c>
      <c r="F67" s="604">
        <f>D67*E67</f>
        <v>14400</v>
      </c>
    </row>
    <row r="68" spans="1:6" s="572" customFormat="1" ht="16.5" x14ac:dyDescent="0.25">
      <c r="A68" s="593" t="s">
        <v>986</v>
      </c>
      <c r="B68" s="600" t="s">
        <v>64</v>
      </c>
      <c r="C68" s="589" t="s">
        <v>950</v>
      </c>
      <c r="D68" s="607">
        <f>D56</f>
        <v>241.68</v>
      </c>
      <c r="E68" s="596">
        <v>500</v>
      </c>
      <c r="F68" s="597">
        <f>D68*E68</f>
        <v>120840</v>
      </c>
    </row>
    <row r="69" spans="1:6" s="572" customFormat="1" x14ac:dyDescent="0.25">
      <c r="A69" s="662"/>
      <c r="B69" s="663" t="s">
        <v>1047</v>
      </c>
      <c r="C69" s="664"/>
      <c r="D69" s="607"/>
      <c r="E69" s="666"/>
      <c r="F69" s="667">
        <f>SUM(F56:F68)</f>
        <v>1984715.7</v>
      </c>
    </row>
    <row r="70" spans="1:6" s="572" customFormat="1" x14ac:dyDescent="0.25">
      <c r="A70" s="668"/>
      <c r="B70" s="669"/>
      <c r="C70" s="670"/>
      <c r="D70" s="671"/>
      <c r="E70" s="672"/>
      <c r="F70" s="592"/>
    </row>
    <row r="71" spans="1:6" s="572" customFormat="1" x14ac:dyDescent="0.25">
      <c r="A71" s="662"/>
      <c r="B71" s="663" t="s">
        <v>1048</v>
      </c>
      <c r="C71" s="664"/>
      <c r="D71" s="665"/>
      <c r="E71" s="666"/>
      <c r="F71" s="673">
        <f>F69</f>
        <v>1984715.7</v>
      </c>
    </row>
    <row r="73" spans="1:6" s="572" customFormat="1" x14ac:dyDescent="0.25">
      <c r="A73" s="587">
        <v>2.1</v>
      </c>
      <c r="B73" s="588" t="s">
        <v>1052</v>
      </c>
      <c r="C73" s="589"/>
      <c r="D73" s="590"/>
      <c r="E73" s="591"/>
      <c r="F73" s="592"/>
    </row>
    <row r="74" spans="1:6" s="572" customFormat="1" ht="16.5" x14ac:dyDescent="0.25">
      <c r="A74" s="593" t="s">
        <v>75</v>
      </c>
      <c r="B74" s="600" t="s">
        <v>55</v>
      </c>
      <c r="C74" s="589" t="s">
        <v>950</v>
      </c>
      <c r="D74" s="607">
        <f>7*7</f>
        <v>49</v>
      </c>
      <c r="E74" s="596">
        <v>1000</v>
      </c>
      <c r="F74" s="597">
        <f>D74*E74</f>
        <v>49000</v>
      </c>
    </row>
    <row r="75" spans="1:6" s="572" customFormat="1" ht="16.5" x14ac:dyDescent="0.25">
      <c r="A75" s="593" t="s">
        <v>76</v>
      </c>
      <c r="B75" s="600" t="s">
        <v>56</v>
      </c>
      <c r="C75" s="589" t="s">
        <v>951</v>
      </c>
      <c r="D75" s="607">
        <f>((6)*6*5)*50%</f>
        <v>90</v>
      </c>
      <c r="E75" s="596">
        <v>2000</v>
      </c>
      <c r="F75" s="597">
        <f>D75*E75</f>
        <v>180000</v>
      </c>
    </row>
    <row r="76" spans="1:6" s="572" customFormat="1" ht="16.5" x14ac:dyDescent="0.25">
      <c r="A76" s="593" t="s">
        <v>77</v>
      </c>
      <c r="B76" s="600" t="s">
        <v>952</v>
      </c>
      <c r="C76" s="589" t="s">
        <v>951</v>
      </c>
      <c r="D76" s="607">
        <f>((6)*6*1.5)*40%</f>
        <v>21.6</v>
      </c>
      <c r="E76" s="599">
        <v>2500</v>
      </c>
      <c r="F76" s="601">
        <f>E76*D76</f>
        <v>54000</v>
      </c>
    </row>
    <row r="77" spans="1:6" s="572" customFormat="1" ht="16.5" x14ac:dyDescent="0.25">
      <c r="A77" s="593" t="s">
        <v>78</v>
      </c>
      <c r="B77" s="600" t="s">
        <v>953</v>
      </c>
      <c r="C77" s="589" t="s">
        <v>951</v>
      </c>
      <c r="D77" s="607">
        <f>((6)*6*1.5)*60%</f>
        <v>32.4</v>
      </c>
      <c r="E77" s="599">
        <v>3000</v>
      </c>
      <c r="F77" s="601">
        <f>E77*D77</f>
        <v>97200</v>
      </c>
    </row>
    <row r="78" spans="1:6" s="572" customFormat="1" ht="42.75" x14ac:dyDescent="0.25">
      <c r="A78" s="620" t="s">
        <v>79</v>
      </c>
      <c r="B78" s="605" t="s">
        <v>954</v>
      </c>
      <c r="C78" s="602" t="s">
        <v>11</v>
      </c>
      <c r="D78" s="606">
        <v>10</v>
      </c>
      <c r="E78" s="599">
        <v>12000</v>
      </c>
      <c r="F78" s="604">
        <f t="shared" ref="F78:F84" si="4">D78*E78</f>
        <v>120000</v>
      </c>
    </row>
    <row r="79" spans="1:6" s="572" customFormat="1" ht="28.5" x14ac:dyDescent="0.25">
      <c r="A79" s="593" t="s">
        <v>80</v>
      </c>
      <c r="B79" s="600" t="s">
        <v>57</v>
      </c>
      <c r="C79" s="589" t="s">
        <v>951</v>
      </c>
      <c r="D79" s="607">
        <f>(6*6)*0.6</f>
        <v>21.599999999999998</v>
      </c>
      <c r="E79" s="596">
        <v>50000</v>
      </c>
      <c r="F79" s="597">
        <f t="shared" si="4"/>
        <v>1080000</v>
      </c>
    </row>
    <row r="80" spans="1:6" s="572" customFormat="1" ht="28.5" x14ac:dyDescent="0.25">
      <c r="A80" s="593" t="s">
        <v>81</v>
      </c>
      <c r="B80" s="600" t="s">
        <v>58</v>
      </c>
      <c r="C80" s="589" t="s">
        <v>950</v>
      </c>
      <c r="D80" s="607">
        <f>6.1*3*0.2</f>
        <v>3.6599999999999997</v>
      </c>
      <c r="E80" s="596">
        <v>5000</v>
      </c>
      <c r="F80" s="597">
        <f t="shared" si="4"/>
        <v>18300</v>
      </c>
    </row>
    <row r="81" spans="1:41" s="572" customFormat="1" ht="16.5" x14ac:dyDescent="0.25">
      <c r="A81" s="593" t="s">
        <v>82</v>
      </c>
      <c r="B81" s="600" t="s">
        <v>59</v>
      </c>
      <c r="C81" s="589" t="s">
        <v>951</v>
      </c>
      <c r="D81" s="607">
        <f>(5.5*5.5)*0.3</f>
        <v>9.0749999999999993</v>
      </c>
      <c r="E81" s="596">
        <v>50000</v>
      </c>
      <c r="F81" s="597">
        <f t="shared" si="4"/>
        <v>453749.99999999994</v>
      </c>
    </row>
    <row r="82" spans="1:41" s="572" customFormat="1" ht="16.5" x14ac:dyDescent="0.25">
      <c r="A82" s="593" t="s">
        <v>83</v>
      </c>
      <c r="B82" s="600" t="s">
        <v>60</v>
      </c>
      <c r="C82" s="589" t="s">
        <v>951</v>
      </c>
      <c r="D82" s="607">
        <f>6*6*0.15</f>
        <v>5.3999999999999995</v>
      </c>
      <c r="E82" s="596">
        <v>1500</v>
      </c>
      <c r="F82" s="597">
        <f t="shared" si="4"/>
        <v>8099.9999999999991</v>
      </c>
    </row>
    <row r="83" spans="1:41" s="572" customFormat="1" ht="28.5" x14ac:dyDescent="0.25">
      <c r="A83" s="593" t="s">
        <v>84</v>
      </c>
      <c r="B83" s="600" t="s">
        <v>61</v>
      </c>
      <c r="C83" s="589" t="s">
        <v>951</v>
      </c>
      <c r="D83" s="607">
        <f>D75+D76+D77-D79-D81-D82</f>
        <v>107.925</v>
      </c>
      <c r="E83" s="596">
        <v>1500</v>
      </c>
      <c r="F83" s="597">
        <f t="shared" si="4"/>
        <v>161887.5</v>
      </c>
    </row>
    <row r="84" spans="1:41" s="572" customFormat="1" ht="28.5" x14ac:dyDescent="0.25">
      <c r="A84" s="620" t="s">
        <v>85</v>
      </c>
      <c r="B84" s="605" t="s">
        <v>955</v>
      </c>
      <c r="C84" s="602" t="s">
        <v>951</v>
      </c>
      <c r="D84" s="607">
        <f>7*4*0.8*0.5</f>
        <v>11.200000000000001</v>
      </c>
      <c r="E84" s="599">
        <v>1500</v>
      </c>
      <c r="F84" s="604">
        <f t="shared" si="4"/>
        <v>16800</v>
      </c>
    </row>
    <row r="85" spans="1:41" s="572" customFormat="1" ht="28.5" x14ac:dyDescent="0.25">
      <c r="A85" s="593" t="s">
        <v>86</v>
      </c>
      <c r="B85" s="605" t="s">
        <v>63</v>
      </c>
      <c r="C85" s="602" t="s">
        <v>11</v>
      </c>
      <c r="D85" s="607">
        <f>7*4</f>
        <v>28</v>
      </c>
      <c r="E85" s="599">
        <v>600</v>
      </c>
      <c r="F85" s="604">
        <f>D85*E85</f>
        <v>16800</v>
      </c>
    </row>
    <row r="86" spans="1:41" s="572" customFormat="1" ht="16.5" x14ac:dyDescent="0.25">
      <c r="A86" s="620" t="s">
        <v>87</v>
      </c>
      <c r="B86" s="600" t="s">
        <v>64</v>
      </c>
      <c r="C86" s="589" t="s">
        <v>950</v>
      </c>
      <c r="D86" s="607">
        <f>D74</f>
        <v>49</v>
      </c>
      <c r="E86" s="596">
        <v>500</v>
      </c>
      <c r="F86" s="597">
        <f>D86*E86</f>
        <v>24500</v>
      </c>
    </row>
    <row r="87" spans="1:41" s="1" customFormat="1" ht="15.75" x14ac:dyDescent="0.25">
      <c r="A87" s="352"/>
      <c r="B87" s="353" t="s">
        <v>88</v>
      </c>
      <c r="C87" s="354"/>
      <c r="D87" s="355"/>
      <c r="E87" s="356"/>
      <c r="F87" s="357">
        <f>SUM(F74:F86)</f>
        <v>2280337.5</v>
      </c>
    </row>
    <row r="88" spans="1:41" s="36" customFormat="1" ht="15.75" x14ac:dyDescent="0.25">
      <c r="A88" s="358"/>
      <c r="B88" s="359" t="s">
        <v>1053</v>
      </c>
      <c r="C88" s="360"/>
      <c r="D88" s="361"/>
      <c r="E88" s="362"/>
      <c r="F88" s="363">
        <f>F87</f>
        <v>2280337.5</v>
      </c>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s="572" customFormat="1" x14ac:dyDescent="0.25">
      <c r="A89" s="668"/>
      <c r="B89" s="669"/>
      <c r="C89" s="670"/>
      <c r="D89" s="671"/>
      <c r="E89" s="672"/>
      <c r="F89" s="592"/>
    </row>
    <row r="90" spans="1:41" s="572" customFormat="1" x14ac:dyDescent="0.25">
      <c r="A90" s="587">
        <v>2.2999999999999998</v>
      </c>
      <c r="B90" s="588" t="s">
        <v>1054</v>
      </c>
      <c r="C90" s="589"/>
      <c r="D90" s="590"/>
      <c r="E90" s="591"/>
      <c r="F90" s="592"/>
    </row>
    <row r="91" spans="1:41" s="572" customFormat="1" ht="16.5" x14ac:dyDescent="0.25">
      <c r="A91" s="593" t="s">
        <v>956</v>
      </c>
      <c r="B91" s="600" t="s">
        <v>55</v>
      </c>
      <c r="C91" s="589" t="s">
        <v>950</v>
      </c>
      <c r="D91" s="607">
        <f>8*7</f>
        <v>56</v>
      </c>
      <c r="E91" s="596">
        <v>1000</v>
      </c>
      <c r="F91" s="597">
        <f>D91*E91</f>
        <v>56000</v>
      </c>
      <c r="H91" s="608"/>
    </row>
    <row r="92" spans="1:41" s="572" customFormat="1" ht="16.5" x14ac:dyDescent="0.25">
      <c r="A92" s="593" t="s">
        <v>957</v>
      </c>
      <c r="B92" s="600" t="s">
        <v>56</v>
      </c>
      <c r="C92" s="589" t="s">
        <v>951</v>
      </c>
      <c r="D92" s="607">
        <f>((6)*6*4)*50%</f>
        <v>72</v>
      </c>
      <c r="E92" s="596">
        <v>2000</v>
      </c>
      <c r="F92" s="597">
        <f>D92*E92</f>
        <v>144000</v>
      </c>
      <c r="H92" s="608"/>
    </row>
    <row r="93" spans="1:41" s="572" customFormat="1" ht="16.5" x14ac:dyDescent="0.25">
      <c r="A93" s="593" t="s">
        <v>958</v>
      </c>
      <c r="B93" s="600" t="s">
        <v>952</v>
      </c>
      <c r="C93" s="589" t="s">
        <v>951</v>
      </c>
      <c r="D93" s="607">
        <f>((6)*6*2)*40%</f>
        <v>28.8</v>
      </c>
      <c r="E93" s="599">
        <v>2500</v>
      </c>
      <c r="F93" s="601">
        <f>E93*D93</f>
        <v>72000</v>
      </c>
      <c r="H93" s="608"/>
    </row>
    <row r="94" spans="1:41" s="572" customFormat="1" ht="16.5" x14ac:dyDescent="0.25">
      <c r="A94" s="593" t="s">
        <v>959</v>
      </c>
      <c r="B94" s="600" t="s">
        <v>953</v>
      </c>
      <c r="C94" s="589" t="s">
        <v>951</v>
      </c>
      <c r="D94" s="607">
        <f>((6)*6*1)*60%</f>
        <v>21.599999999999998</v>
      </c>
      <c r="E94" s="599">
        <v>3000</v>
      </c>
      <c r="F94" s="601">
        <f>E94*D94</f>
        <v>64799.999999999993</v>
      </c>
      <c r="H94" s="608"/>
    </row>
    <row r="95" spans="1:41" s="572" customFormat="1" ht="42.75" x14ac:dyDescent="0.25">
      <c r="A95" s="593" t="s">
        <v>960</v>
      </c>
      <c r="B95" s="605" t="s">
        <v>954</v>
      </c>
      <c r="C95" s="602" t="s">
        <v>11</v>
      </c>
      <c r="D95" s="606">
        <v>12</v>
      </c>
      <c r="E95" s="599">
        <v>12000</v>
      </c>
      <c r="F95" s="604">
        <f t="shared" ref="F95:F101" si="5">D95*E95</f>
        <v>144000</v>
      </c>
      <c r="H95" s="608"/>
    </row>
    <row r="96" spans="1:41" s="572" customFormat="1" ht="28.5" x14ac:dyDescent="0.25">
      <c r="A96" s="593" t="s">
        <v>961</v>
      </c>
      <c r="B96" s="600" t="s">
        <v>57</v>
      </c>
      <c r="C96" s="589" t="s">
        <v>951</v>
      </c>
      <c r="D96" s="607">
        <f>(6.5*6.5)*0.6</f>
        <v>25.349999999999998</v>
      </c>
      <c r="E96" s="596">
        <v>50000</v>
      </c>
      <c r="F96" s="597">
        <f t="shared" si="5"/>
        <v>1267500</v>
      </c>
      <c r="H96" s="608"/>
    </row>
    <row r="97" spans="1:41" s="572" customFormat="1" ht="28.5" x14ac:dyDescent="0.25">
      <c r="A97" s="593" t="s">
        <v>962</v>
      </c>
      <c r="B97" s="600" t="s">
        <v>58</v>
      </c>
      <c r="C97" s="589" t="s">
        <v>950</v>
      </c>
      <c r="D97" s="607">
        <f>6.5*3*0.2</f>
        <v>3.9000000000000004</v>
      </c>
      <c r="E97" s="596">
        <v>5000</v>
      </c>
      <c r="F97" s="597">
        <f t="shared" si="5"/>
        <v>19500</v>
      </c>
      <c r="H97" s="608"/>
    </row>
    <row r="98" spans="1:41" s="572" customFormat="1" ht="16.5" x14ac:dyDescent="0.25">
      <c r="A98" s="593" t="s">
        <v>963</v>
      </c>
      <c r="B98" s="600" t="s">
        <v>59</v>
      </c>
      <c r="C98" s="589" t="s">
        <v>951</v>
      </c>
      <c r="D98" s="607">
        <f>(6.5*6.5)*0.3</f>
        <v>12.674999999999999</v>
      </c>
      <c r="E98" s="596">
        <v>50000</v>
      </c>
      <c r="F98" s="597">
        <f t="shared" si="5"/>
        <v>633750</v>
      </c>
      <c r="H98" s="608"/>
    </row>
    <row r="99" spans="1:41" s="572" customFormat="1" ht="16.5" x14ac:dyDescent="0.25">
      <c r="A99" s="593" t="s">
        <v>964</v>
      </c>
      <c r="B99" s="600" t="s">
        <v>60</v>
      </c>
      <c r="C99" s="589" t="s">
        <v>951</v>
      </c>
      <c r="D99" s="607">
        <f>6.5*6.5*0.15</f>
        <v>6.3374999999999995</v>
      </c>
      <c r="E99" s="596">
        <v>1500</v>
      </c>
      <c r="F99" s="597">
        <f t="shared" si="5"/>
        <v>9506.25</v>
      </c>
      <c r="H99" s="608"/>
    </row>
    <row r="100" spans="1:41" s="572" customFormat="1" ht="28.5" x14ac:dyDescent="0.25">
      <c r="A100" s="593" t="s">
        <v>965</v>
      </c>
      <c r="B100" s="600" t="s">
        <v>61</v>
      </c>
      <c r="C100" s="589" t="s">
        <v>951</v>
      </c>
      <c r="D100" s="607">
        <f>D92+D93+D94-D96-D98-D99</f>
        <v>78.037499999999994</v>
      </c>
      <c r="E100" s="596">
        <v>1500</v>
      </c>
      <c r="F100" s="597">
        <f t="shared" si="5"/>
        <v>117056.24999999999</v>
      </c>
      <c r="H100" s="608"/>
    </row>
    <row r="101" spans="1:41" s="572" customFormat="1" ht="28.5" x14ac:dyDescent="0.25">
      <c r="A101" s="593" t="s">
        <v>966</v>
      </c>
      <c r="B101" s="605" t="s">
        <v>955</v>
      </c>
      <c r="C101" s="602" t="s">
        <v>951</v>
      </c>
      <c r="D101" s="607">
        <f>(8+7*2)*0.8*0.5</f>
        <v>8.8000000000000007</v>
      </c>
      <c r="E101" s="599">
        <v>1500</v>
      </c>
      <c r="F101" s="604">
        <f t="shared" si="5"/>
        <v>13200.000000000002</v>
      </c>
      <c r="H101" s="608"/>
    </row>
    <row r="102" spans="1:41" s="572" customFormat="1" ht="28.5" x14ac:dyDescent="0.25">
      <c r="A102" s="593" t="s">
        <v>967</v>
      </c>
      <c r="B102" s="605" t="s">
        <v>63</v>
      </c>
      <c r="C102" s="602" t="s">
        <v>11</v>
      </c>
      <c r="D102" s="607">
        <f>8+7*2</f>
        <v>22</v>
      </c>
      <c r="E102" s="599">
        <v>600</v>
      </c>
      <c r="F102" s="604">
        <f>D102*E102</f>
        <v>13200</v>
      </c>
      <c r="H102" s="608"/>
    </row>
    <row r="103" spans="1:41" s="572" customFormat="1" ht="16.5" x14ac:dyDescent="0.25">
      <c r="A103" s="593" t="s">
        <v>968</v>
      </c>
      <c r="B103" s="600" t="s">
        <v>64</v>
      </c>
      <c r="C103" s="589" t="s">
        <v>950</v>
      </c>
      <c r="D103" s="607">
        <f>D91</f>
        <v>56</v>
      </c>
      <c r="E103" s="596">
        <v>500</v>
      </c>
      <c r="F103" s="597">
        <f>D103*E103</f>
        <v>28000</v>
      </c>
      <c r="H103" s="608"/>
    </row>
    <row r="104" spans="1:41" s="1" customFormat="1" ht="15.75" x14ac:dyDescent="0.25">
      <c r="A104" s="352"/>
      <c r="B104" s="353" t="s">
        <v>969</v>
      </c>
      <c r="C104" s="354"/>
      <c r="D104" s="355"/>
      <c r="E104" s="356"/>
      <c r="F104" s="357">
        <f>SUM(F91:F103)</f>
        <v>2582512.5</v>
      </c>
    </row>
    <row r="105" spans="1:41" s="36" customFormat="1" ht="15.75" x14ac:dyDescent="0.25">
      <c r="A105" s="358"/>
      <c r="B105" s="359" t="s">
        <v>1055</v>
      </c>
      <c r="C105" s="360"/>
      <c r="D105" s="361"/>
      <c r="E105" s="362"/>
      <c r="F105" s="363">
        <f>F104</f>
        <v>2582512.5</v>
      </c>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row>
    <row r="106" spans="1:41" s="572" customFormat="1" x14ac:dyDescent="0.25">
      <c r="A106" s="662"/>
      <c r="B106" s="663"/>
      <c r="C106" s="664"/>
      <c r="D106" s="665"/>
      <c r="E106" s="666"/>
      <c r="F106" s="673"/>
    </row>
    <row r="107" spans="1:41" s="572" customFormat="1" x14ac:dyDescent="0.25">
      <c r="A107" s="587">
        <v>2.2999999999999998</v>
      </c>
      <c r="B107" s="588" t="s">
        <v>1056</v>
      </c>
      <c r="C107" s="589"/>
      <c r="D107" s="590"/>
      <c r="E107" s="591"/>
      <c r="F107" s="592"/>
    </row>
    <row r="108" spans="1:41" s="572" customFormat="1" ht="16.5" x14ac:dyDescent="0.25">
      <c r="A108" s="593" t="s">
        <v>956</v>
      </c>
      <c r="B108" s="600" t="s">
        <v>55</v>
      </c>
      <c r="C108" s="589" t="s">
        <v>950</v>
      </c>
      <c r="D108" s="607">
        <f>(15*15.1)</f>
        <v>226.5</v>
      </c>
      <c r="E108" s="596">
        <v>1000</v>
      </c>
      <c r="F108" s="597">
        <f>D108*E108</f>
        <v>226500</v>
      </c>
    </row>
    <row r="109" spans="1:41" s="572" customFormat="1" ht="16.5" x14ac:dyDescent="0.25">
      <c r="A109" s="593" t="s">
        <v>957</v>
      </c>
      <c r="B109" s="600" t="s">
        <v>56</v>
      </c>
      <c r="C109" s="589" t="s">
        <v>951</v>
      </c>
      <c r="D109" s="607">
        <f>((1.5+5)/2*12*5)*50%</f>
        <v>97.5</v>
      </c>
      <c r="E109" s="596">
        <v>2000</v>
      </c>
      <c r="F109" s="597">
        <f t="shared" ref="F109:F120" si="6">D109*E109</f>
        <v>195000</v>
      </c>
    </row>
    <row r="110" spans="1:41" s="572" customFormat="1" ht="16.5" x14ac:dyDescent="0.25">
      <c r="A110" s="593" t="s">
        <v>958</v>
      </c>
      <c r="B110" s="600" t="s">
        <v>952</v>
      </c>
      <c r="C110" s="589" t="s">
        <v>951</v>
      </c>
      <c r="D110" s="607">
        <f>((1.5+5)/2*12*5)*60%</f>
        <v>117</v>
      </c>
      <c r="E110" s="599">
        <v>2500</v>
      </c>
      <c r="F110" s="597">
        <f t="shared" si="6"/>
        <v>292500</v>
      </c>
    </row>
    <row r="111" spans="1:41" s="572" customFormat="1" ht="16.5" x14ac:dyDescent="0.25">
      <c r="A111" s="593" t="s">
        <v>959</v>
      </c>
      <c r="B111" s="600" t="s">
        <v>953</v>
      </c>
      <c r="C111" s="589" t="s">
        <v>951</v>
      </c>
      <c r="D111" s="607">
        <f>((1.5+5)/2*12*5)*40%</f>
        <v>78</v>
      </c>
      <c r="E111" s="599">
        <v>3000</v>
      </c>
      <c r="F111" s="597">
        <f t="shared" si="6"/>
        <v>234000</v>
      </c>
    </row>
    <row r="112" spans="1:41" s="572" customFormat="1" ht="42.75" x14ac:dyDescent="0.25">
      <c r="A112" s="593" t="s">
        <v>960</v>
      </c>
      <c r="B112" s="605" t="s">
        <v>954</v>
      </c>
      <c r="C112" s="602" t="s">
        <v>11</v>
      </c>
      <c r="D112" s="607">
        <v>12</v>
      </c>
      <c r="E112" s="599">
        <v>12000</v>
      </c>
      <c r="F112" s="597">
        <f t="shared" si="6"/>
        <v>144000</v>
      </c>
    </row>
    <row r="113" spans="1:6" s="572" customFormat="1" ht="28.5" x14ac:dyDescent="0.25">
      <c r="A113" s="593" t="s">
        <v>961</v>
      </c>
      <c r="B113" s="600" t="s">
        <v>57</v>
      </c>
      <c r="C113" s="589" t="s">
        <v>951</v>
      </c>
      <c r="D113" s="607">
        <f>(1.48+2.085)*0.5*0.6*6</f>
        <v>6.4169999999999998</v>
      </c>
      <c r="E113" s="596">
        <v>50000</v>
      </c>
      <c r="F113" s="597">
        <f t="shared" si="6"/>
        <v>320850</v>
      </c>
    </row>
    <row r="114" spans="1:6" s="572" customFormat="1" ht="28.5" x14ac:dyDescent="0.25">
      <c r="A114" s="593" t="s">
        <v>962</v>
      </c>
      <c r="B114" s="600" t="s">
        <v>58</v>
      </c>
      <c r="C114" s="589" t="s">
        <v>950</v>
      </c>
      <c r="D114" s="607">
        <f>(3.93*5)*3</f>
        <v>58.95</v>
      </c>
      <c r="E114" s="596">
        <v>5000</v>
      </c>
      <c r="F114" s="597">
        <f t="shared" si="6"/>
        <v>294750</v>
      </c>
    </row>
    <row r="115" spans="1:6" s="572" customFormat="1" ht="16.5" x14ac:dyDescent="0.25">
      <c r="A115" s="593" t="s">
        <v>963</v>
      </c>
      <c r="B115" s="600" t="s">
        <v>59</v>
      </c>
      <c r="C115" s="589" t="s">
        <v>951</v>
      </c>
      <c r="D115" s="607">
        <f>4.5*6*0.2</f>
        <v>5.4</v>
      </c>
      <c r="E115" s="596">
        <v>50000</v>
      </c>
      <c r="F115" s="597">
        <f t="shared" si="6"/>
        <v>270000</v>
      </c>
    </row>
    <row r="116" spans="1:6" s="572" customFormat="1" ht="16.5" x14ac:dyDescent="0.25">
      <c r="A116" s="593" t="s">
        <v>964</v>
      </c>
      <c r="B116" s="600" t="s">
        <v>60</v>
      </c>
      <c r="C116" s="589" t="s">
        <v>951</v>
      </c>
      <c r="D116" s="607">
        <f>(3.18+2.5)*0.5*1*7</f>
        <v>19.88</v>
      </c>
      <c r="E116" s="596">
        <v>1500</v>
      </c>
      <c r="F116" s="597">
        <f t="shared" si="6"/>
        <v>29820</v>
      </c>
    </row>
    <row r="117" spans="1:6" s="572" customFormat="1" ht="28.5" x14ac:dyDescent="0.25">
      <c r="A117" s="593" t="s">
        <v>965</v>
      </c>
      <c r="B117" s="600" t="s">
        <v>61</v>
      </c>
      <c r="C117" s="589" t="s">
        <v>951</v>
      </c>
      <c r="D117" s="607">
        <f>(D109+D110)-D113-D115-D116</f>
        <v>182.803</v>
      </c>
      <c r="E117" s="596">
        <v>1500</v>
      </c>
      <c r="F117" s="597">
        <f t="shared" si="6"/>
        <v>274204.5</v>
      </c>
    </row>
    <row r="118" spans="1:6" s="572" customFormat="1" ht="28.5" x14ac:dyDescent="0.25">
      <c r="A118" s="593" t="s">
        <v>966</v>
      </c>
      <c r="B118" s="605" t="s">
        <v>955</v>
      </c>
      <c r="C118" s="602" t="s">
        <v>951</v>
      </c>
      <c r="D118" s="607">
        <f>(14.3+10+10)*(0.8+0.4)/2*0.8</f>
        <v>16.464000000000002</v>
      </c>
      <c r="E118" s="599">
        <v>1500</v>
      </c>
      <c r="F118" s="597">
        <f t="shared" si="6"/>
        <v>24696.000000000004</v>
      </c>
    </row>
    <row r="119" spans="1:6" s="572" customFormat="1" ht="28.5" x14ac:dyDescent="0.25">
      <c r="A119" s="593" t="s">
        <v>967</v>
      </c>
      <c r="B119" s="605" t="s">
        <v>63</v>
      </c>
      <c r="C119" s="602" t="s">
        <v>11</v>
      </c>
      <c r="D119" s="607">
        <f>4*2*1</f>
        <v>8</v>
      </c>
      <c r="E119" s="599">
        <v>600</v>
      </c>
      <c r="F119" s="597">
        <f t="shared" si="6"/>
        <v>4800</v>
      </c>
    </row>
    <row r="120" spans="1:6" s="572" customFormat="1" ht="16.5" x14ac:dyDescent="0.25">
      <c r="A120" s="593" t="s">
        <v>968</v>
      </c>
      <c r="B120" s="600" t="s">
        <v>64</v>
      </c>
      <c r="C120" s="589" t="s">
        <v>950</v>
      </c>
      <c r="D120" s="607">
        <f>D108</f>
        <v>226.5</v>
      </c>
      <c r="E120" s="596">
        <v>500</v>
      </c>
      <c r="F120" s="597">
        <f t="shared" si="6"/>
        <v>113250</v>
      </c>
    </row>
    <row r="121" spans="1:6" s="572" customFormat="1" x14ac:dyDescent="0.25">
      <c r="A121" s="662"/>
      <c r="B121" s="663" t="s">
        <v>969</v>
      </c>
      <c r="C121" s="664"/>
      <c r="D121" s="607"/>
      <c r="E121" s="666"/>
      <c r="F121" s="674">
        <f>SUM(F108:F120)</f>
        <v>2424370.5</v>
      </c>
    </row>
    <row r="122" spans="1:6" s="572" customFormat="1" x14ac:dyDescent="0.25">
      <c r="A122" s="662"/>
      <c r="B122" s="663" t="s">
        <v>1055</v>
      </c>
      <c r="C122" s="664"/>
      <c r="D122" s="665"/>
      <c r="E122" s="666"/>
      <c r="F122" s="597"/>
    </row>
    <row r="123" spans="1:6" s="572" customFormat="1" x14ac:dyDescent="0.25">
      <c r="A123" s="662"/>
      <c r="B123" s="663"/>
      <c r="C123" s="664"/>
      <c r="D123" s="665"/>
      <c r="E123" s="666"/>
      <c r="F123" s="673"/>
    </row>
    <row r="124" spans="1:6" s="572" customFormat="1" x14ac:dyDescent="0.25">
      <c r="A124" s="587">
        <v>2.2999999999999998</v>
      </c>
      <c r="B124" s="588" t="s">
        <v>1057</v>
      </c>
      <c r="C124" s="589"/>
      <c r="D124" s="590"/>
      <c r="E124" s="591"/>
      <c r="F124" s="592"/>
    </row>
    <row r="125" spans="1:6" s="572" customFormat="1" ht="16.5" x14ac:dyDescent="0.25">
      <c r="A125" s="593" t="s">
        <v>956</v>
      </c>
      <c r="B125" s="600" t="s">
        <v>55</v>
      </c>
      <c r="C125" s="589" t="s">
        <v>950</v>
      </c>
      <c r="D125" s="607">
        <f>8*7</f>
        <v>56</v>
      </c>
      <c r="E125" s="596">
        <v>1000</v>
      </c>
      <c r="F125" s="597">
        <f>D125*E125</f>
        <v>56000</v>
      </c>
    </row>
    <row r="126" spans="1:6" s="572" customFormat="1" ht="16.5" x14ac:dyDescent="0.25">
      <c r="A126" s="593" t="s">
        <v>957</v>
      </c>
      <c r="B126" s="600" t="s">
        <v>56</v>
      </c>
      <c r="C126" s="589" t="s">
        <v>951</v>
      </c>
      <c r="D126" s="607">
        <f>((6)*6*4)*50%</f>
        <v>72</v>
      </c>
      <c r="E126" s="596">
        <v>2000</v>
      </c>
      <c r="F126" s="597">
        <f>D126*E126</f>
        <v>144000</v>
      </c>
    </row>
    <row r="127" spans="1:6" s="572" customFormat="1" ht="16.5" x14ac:dyDescent="0.25">
      <c r="A127" s="593" t="s">
        <v>958</v>
      </c>
      <c r="B127" s="600" t="s">
        <v>952</v>
      </c>
      <c r="C127" s="589" t="s">
        <v>951</v>
      </c>
      <c r="D127" s="607">
        <f>((6)*6*2)*40%</f>
        <v>28.8</v>
      </c>
      <c r="E127" s="599">
        <v>2500</v>
      </c>
      <c r="F127" s="601">
        <f>E127*D127</f>
        <v>72000</v>
      </c>
    </row>
    <row r="128" spans="1:6" s="572" customFormat="1" ht="16.5" x14ac:dyDescent="0.25">
      <c r="A128" s="593" t="s">
        <v>959</v>
      </c>
      <c r="B128" s="600" t="s">
        <v>953</v>
      </c>
      <c r="C128" s="589" t="s">
        <v>951</v>
      </c>
      <c r="D128" s="607">
        <f>((6)*6*1)*60%</f>
        <v>21.599999999999998</v>
      </c>
      <c r="E128" s="599">
        <v>3000</v>
      </c>
      <c r="F128" s="601">
        <f>E128*D128</f>
        <v>64799.999999999993</v>
      </c>
    </row>
    <row r="129" spans="1:6" s="572" customFormat="1" ht="42.75" x14ac:dyDescent="0.25">
      <c r="A129" s="593" t="s">
        <v>960</v>
      </c>
      <c r="B129" s="605" t="s">
        <v>954</v>
      </c>
      <c r="C129" s="602" t="s">
        <v>11</v>
      </c>
      <c r="D129" s="606">
        <v>12</v>
      </c>
      <c r="E129" s="599">
        <v>12000</v>
      </c>
      <c r="F129" s="604">
        <f t="shared" ref="F129:F135" si="7">D129*E129</f>
        <v>144000</v>
      </c>
    </row>
    <row r="130" spans="1:6" s="572" customFormat="1" ht="28.5" x14ac:dyDescent="0.25">
      <c r="A130" s="593" t="s">
        <v>961</v>
      </c>
      <c r="B130" s="600" t="s">
        <v>57</v>
      </c>
      <c r="C130" s="589" t="s">
        <v>951</v>
      </c>
      <c r="D130" s="607">
        <f>(6.5*6.5)*0.6</f>
        <v>25.349999999999998</v>
      </c>
      <c r="E130" s="596">
        <v>50000</v>
      </c>
      <c r="F130" s="597">
        <f t="shared" si="7"/>
        <v>1267500</v>
      </c>
    </row>
    <row r="131" spans="1:6" s="572" customFormat="1" ht="28.5" x14ac:dyDescent="0.25">
      <c r="A131" s="593" t="s">
        <v>962</v>
      </c>
      <c r="B131" s="600" t="s">
        <v>58</v>
      </c>
      <c r="C131" s="589" t="s">
        <v>950</v>
      </c>
      <c r="D131" s="607">
        <f>6.5*3*0.2*3</f>
        <v>11.700000000000001</v>
      </c>
      <c r="E131" s="596">
        <v>5000</v>
      </c>
      <c r="F131" s="597">
        <f t="shared" si="7"/>
        <v>58500.000000000007</v>
      </c>
    </row>
    <row r="132" spans="1:6" s="572" customFormat="1" ht="16.5" x14ac:dyDescent="0.25">
      <c r="A132" s="593" t="s">
        <v>963</v>
      </c>
      <c r="B132" s="600" t="s">
        <v>59</v>
      </c>
      <c r="C132" s="589" t="s">
        <v>951</v>
      </c>
      <c r="D132" s="607">
        <f>(6.5*6.5)*0.3</f>
        <v>12.674999999999999</v>
      </c>
      <c r="E132" s="596">
        <v>50000</v>
      </c>
      <c r="F132" s="597">
        <f t="shared" si="7"/>
        <v>633750</v>
      </c>
    </row>
    <row r="133" spans="1:6" s="572" customFormat="1" ht="16.5" x14ac:dyDescent="0.25">
      <c r="A133" s="593" t="s">
        <v>964</v>
      </c>
      <c r="B133" s="600" t="s">
        <v>60</v>
      </c>
      <c r="C133" s="589" t="s">
        <v>951</v>
      </c>
      <c r="D133" s="607">
        <f>6.5*6.5*0.15</f>
        <v>6.3374999999999995</v>
      </c>
      <c r="E133" s="596">
        <v>1500</v>
      </c>
      <c r="F133" s="597">
        <f t="shared" si="7"/>
        <v>9506.25</v>
      </c>
    </row>
    <row r="134" spans="1:6" s="572" customFormat="1" ht="28.5" x14ac:dyDescent="0.25">
      <c r="A134" s="593" t="s">
        <v>965</v>
      </c>
      <c r="B134" s="600" t="s">
        <v>61</v>
      </c>
      <c r="C134" s="589" t="s">
        <v>951</v>
      </c>
      <c r="D134" s="607">
        <f>D126+D127+D128-D130-D132-D133</f>
        <v>78.037499999999994</v>
      </c>
      <c r="E134" s="596">
        <v>1500</v>
      </c>
      <c r="F134" s="597">
        <f t="shared" si="7"/>
        <v>117056.24999999999</v>
      </c>
    </row>
    <row r="135" spans="1:6" s="572" customFormat="1" ht="28.5" x14ac:dyDescent="0.25">
      <c r="A135" s="593" t="s">
        <v>966</v>
      </c>
      <c r="B135" s="605" t="s">
        <v>955</v>
      </c>
      <c r="C135" s="602" t="s">
        <v>951</v>
      </c>
      <c r="D135" s="607">
        <f>(8+7*2)*0.8*0.5</f>
        <v>8.8000000000000007</v>
      </c>
      <c r="E135" s="599">
        <v>1500</v>
      </c>
      <c r="F135" s="604">
        <f t="shared" si="7"/>
        <v>13200.000000000002</v>
      </c>
    </row>
    <row r="136" spans="1:6" s="572" customFormat="1" ht="28.5" x14ac:dyDescent="0.25">
      <c r="A136" s="593" t="s">
        <v>967</v>
      </c>
      <c r="B136" s="605" t="s">
        <v>63</v>
      </c>
      <c r="C136" s="602" t="s">
        <v>11</v>
      </c>
      <c r="D136" s="607">
        <f>8+7*2</f>
        <v>22</v>
      </c>
      <c r="E136" s="599">
        <v>600</v>
      </c>
      <c r="F136" s="604">
        <f>D136*E136</f>
        <v>13200</v>
      </c>
    </row>
    <row r="137" spans="1:6" s="572" customFormat="1" ht="16.5" x14ac:dyDescent="0.25">
      <c r="A137" s="593" t="s">
        <v>968</v>
      </c>
      <c r="B137" s="600" t="s">
        <v>64</v>
      </c>
      <c r="C137" s="589" t="s">
        <v>950</v>
      </c>
      <c r="D137" s="607">
        <f>D125</f>
        <v>56</v>
      </c>
      <c r="E137" s="596">
        <v>500</v>
      </c>
      <c r="F137" s="597">
        <f>D137*E137</f>
        <v>28000</v>
      </c>
    </row>
    <row r="138" spans="1:6" s="572" customFormat="1" x14ac:dyDescent="0.25">
      <c r="A138" s="662"/>
      <c r="B138" s="663" t="s">
        <v>969</v>
      </c>
      <c r="C138" s="664"/>
      <c r="D138" s="665"/>
      <c r="E138" s="666"/>
      <c r="F138" s="667">
        <f>SUM(F125:F137)</f>
        <v>2621512.5</v>
      </c>
    </row>
    <row r="139" spans="1:6" s="572" customFormat="1" x14ac:dyDescent="0.25">
      <c r="A139" s="662"/>
      <c r="B139" s="663" t="s">
        <v>1055</v>
      </c>
      <c r="C139" s="664"/>
      <c r="D139" s="665"/>
      <c r="E139" s="666"/>
      <c r="F139" s="673">
        <f>F138</f>
        <v>2621512.5</v>
      </c>
    </row>
    <row r="140" spans="1:6" s="572" customFormat="1" x14ac:dyDescent="0.25">
      <c r="A140" s="668"/>
      <c r="B140" s="669"/>
      <c r="C140" s="670"/>
      <c r="D140" s="671"/>
      <c r="E140" s="672"/>
      <c r="F140" s="592"/>
    </row>
    <row r="141" spans="1:6" s="572" customFormat="1" x14ac:dyDescent="0.25">
      <c r="A141" s="668"/>
      <c r="B141" s="669"/>
      <c r="C141" s="670"/>
      <c r="D141" s="671"/>
      <c r="E141" s="672"/>
      <c r="F141" s="675"/>
    </row>
    <row r="142" spans="1:6" s="572" customFormat="1" x14ac:dyDescent="0.25">
      <c r="A142" s="587">
        <v>2.2000000000000002</v>
      </c>
      <c r="B142" s="588" t="s">
        <v>1058</v>
      </c>
      <c r="C142" s="589"/>
      <c r="D142" s="590"/>
      <c r="E142" s="591"/>
      <c r="F142" s="592"/>
    </row>
    <row r="143" spans="1:6" s="572" customFormat="1" ht="16.5" x14ac:dyDescent="0.25">
      <c r="A143" s="593" t="s">
        <v>118</v>
      </c>
      <c r="B143" s="600" t="s">
        <v>55</v>
      </c>
      <c r="C143" s="589" t="s">
        <v>950</v>
      </c>
      <c r="D143" s="676">
        <f>8*8</f>
        <v>64</v>
      </c>
      <c r="E143" s="596">
        <v>1000</v>
      </c>
      <c r="F143" s="597">
        <f>D143*E143</f>
        <v>64000</v>
      </c>
    </row>
    <row r="144" spans="1:6" s="572" customFormat="1" ht="16.5" x14ac:dyDescent="0.25">
      <c r="A144" s="593" t="s">
        <v>119</v>
      </c>
      <c r="B144" s="600" t="s">
        <v>56</v>
      </c>
      <c r="C144" s="589" t="s">
        <v>951</v>
      </c>
      <c r="D144" s="676">
        <f>((7*7)*6*50%)</f>
        <v>147</v>
      </c>
      <c r="E144" s="596">
        <v>2000</v>
      </c>
      <c r="F144" s="597">
        <f>D144*E144</f>
        <v>294000</v>
      </c>
    </row>
    <row r="145" spans="1:6" s="572" customFormat="1" ht="16.5" x14ac:dyDescent="0.25">
      <c r="A145" s="593" t="s">
        <v>120</v>
      </c>
      <c r="B145" s="600" t="s">
        <v>952</v>
      </c>
      <c r="C145" s="589" t="s">
        <v>951</v>
      </c>
      <c r="D145" s="676">
        <f>(7*7)*2*0.5</f>
        <v>49</v>
      </c>
      <c r="E145" s="599">
        <v>2500</v>
      </c>
      <c r="F145" s="601">
        <f>E145*D145</f>
        <v>122500</v>
      </c>
    </row>
    <row r="146" spans="1:6" s="572" customFormat="1" ht="16.5" x14ac:dyDescent="0.25">
      <c r="A146" s="593" t="s">
        <v>121</v>
      </c>
      <c r="B146" s="600" t="s">
        <v>953</v>
      </c>
      <c r="C146" s="589" t="s">
        <v>951</v>
      </c>
      <c r="D146" s="676">
        <f>(7*7)*2*0.5</f>
        <v>49</v>
      </c>
      <c r="E146" s="599">
        <v>3000</v>
      </c>
      <c r="F146" s="601">
        <f>E146*D146</f>
        <v>147000</v>
      </c>
    </row>
    <row r="147" spans="1:6" s="572" customFormat="1" ht="42.75" x14ac:dyDescent="0.25">
      <c r="A147" s="593" t="s">
        <v>122</v>
      </c>
      <c r="B147" s="600" t="s">
        <v>954</v>
      </c>
      <c r="C147" s="632" t="s">
        <v>11</v>
      </c>
      <c r="D147" s="677">
        <v>15</v>
      </c>
      <c r="E147" s="678">
        <v>12000</v>
      </c>
      <c r="F147" s="679">
        <f t="shared" ref="F147:F153" si="8">D147*E147</f>
        <v>180000</v>
      </c>
    </row>
    <row r="148" spans="1:6" s="572" customFormat="1" ht="28.5" x14ac:dyDescent="0.25">
      <c r="A148" s="593" t="s">
        <v>123</v>
      </c>
      <c r="B148" s="600" t="s">
        <v>57</v>
      </c>
      <c r="C148" s="589" t="s">
        <v>951</v>
      </c>
      <c r="D148" s="676">
        <f>(5.5*5)*0.6</f>
        <v>16.5</v>
      </c>
      <c r="E148" s="596">
        <v>50000</v>
      </c>
      <c r="F148" s="597">
        <f t="shared" si="8"/>
        <v>825000</v>
      </c>
    </row>
    <row r="149" spans="1:6" s="572" customFormat="1" ht="28.5" x14ac:dyDescent="0.25">
      <c r="A149" s="593" t="s">
        <v>124</v>
      </c>
      <c r="B149" s="600" t="s">
        <v>58</v>
      </c>
      <c r="C149" s="589" t="s">
        <v>950</v>
      </c>
      <c r="D149" s="676">
        <f>6*6*0.3</f>
        <v>10.799999999999999</v>
      </c>
      <c r="E149" s="596">
        <v>5000</v>
      </c>
      <c r="F149" s="597">
        <f t="shared" si="8"/>
        <v>53999.999999999993</v>
      </c>
    </row>
    <row r="150" spans="1:6" s="572" customFormat="1" ht="16.5" x14ac:dyDescent="0.25">
      <c r="A150" s="593" t="s">
        <v>125</v>
      </c>
      <c r="B150" s="600" t="s">
        <v>59</v>
      </c>
      <c r="C150" s="589" t="s">
        <v>951</v>
      </c>
      <c r="D150" s="676">
        <f>(7*7*0.3)</f>
        <v>14.7</v>
      </c>
      <c r="E150" s="596">
        <v>50000</v>
      </c>
      <c r="F150" s="597">
        <f t="shared" si="8"/>
        <v>735000</v>
      </c>
    </row>
    <row r="151" spans="1:6" s="572" customFormat="1" ht="16.5" x14ac:dyDescent="0.25">
      <c r="A151" s="593" t="s">
        <v>126</v>
      </c>
      <c r="B151" s="600" t="s">
        <v>60</v>
      </c>
      <c r="C151" s="589" t="s">
        <v>951</v>
      </c>
      <c r="D151" s="676">
        <f>6*6*0.15</f>
        <v>5.3999999999999995</v>
      </c>
      <c r="E151" s="596">
        <v>1500</v>
      </c>
      <c r="F151" s="597">
        <f t="shared" si="8"/>
        <v>8099.9999999999991</v>
      </c>
    </row>
    <row r="152" spans="1:6" s="572" customFormat="1" ht="28.5" x14ac:dyDescent="0.25">
      <c r="A152" s="593" t="s">
        <v>127</v>
      </c>
      <c r="B152" s="600" t="s">
        <v>61</v>
      </c>
      <c r="C152" s="589" t="s">
        <v>951</v>
      </c>
      <c r="D152" s="676">
        <f>D144+D145+D146+-D148-D150-D151</f>
        <v>208.4</v>
      </c>
      <c r="E152" s="596">
        <v>1500</v>
      </c>
      <c r="F152" s="597">
        <f t="shared" si="8"/>
        <v>312600</v>
      </c>
    </row>
    <row r="153" spans="1:6" s="572" customFormat="1" ht="28.5" x14ac:dyDescent="0.25">
      <c r="A153" s="593" t="s">
        <v>128</v>
      </c>
      <c r="B153" s="605" t="s">
        <v>955</v>
      </c>
      <c r="C153" s="602" t="s">
        <v>951</v>
      </c>
      <c r="D153" s="676">
        <f>8*4*0.8*0.5</f>
        <v>12.8</v>
      </c>
      <c r="E153" s="599">
        <v>1500</v>
      </c>
      <c r="F153" s="604">
        <f t="shared" si="8"/>
        <v>19200</v>
      </c>
    </row>
    <row r="154" spans="1:6" s="572" customFormat="1" ht="28.5" x14ac:dyDescent="0.25">
      <c r="A154" s="593" t="s">
        <v>129</v>
      </c>
      <c r="B154" s="605" t="s">
        <v>63</v>
      </c>
      <c r="C154" s="602" t="s">
        <v>11</v>
      </c>
      <c r="D154" s="676">
        <f>8*4</f>
        <v>32</v>
      </c>
      <c r="E154" s="599">
        <v>600</v>
      </c>
      <c r="F154" s="604">
        <f>D154*E154</f>
        <v>19200</v>
      </c>
    </row>
    <row r="155" spans="1:6" s="572" customFormat="1" ht="16.5" x14ac:dyDescent="0.25">
      <c r="A155" s="593" t="s">
        <v>130</v>
      </c>
      <c r="B155" s="600" t="s">
        <v>64</v>
      </c>
      <c r="C155" s="589" t="s">
        <v>950</v>
      </c>
      <c r="D155" s="676">
        <f>D143</f>
        <v>64</v>
      </c>
      <c r="E155" s="596">
        <v>500</v>
      </c>
      <c r="F155" s="597">
        <f>D155*E155</f>
        <v>32000</v>
      </c>
    </row>
    <row r="156" spans="1:6" s="572" customFormat="1" x14ac:dyDescent="0.25">
      <c r="A156" s="662"/>
      <c r="B156" s="663" t="s">
        <v>131</v>
      </c>
      <c r="C156" s="664"/>
      <c r="D156" s="665"/>
      <c r="E156" s="666"/>
      <c r="F156" s="667">
        <f>SUM(F143:F155)</f>
        <v>2812600</v>
      </c>
    </row>
    <row r="157" spans="1:6" s="572" customFormat="1" x14ac:dyDescent="0.25">
      <c r="A157" s="668"/>
      <c r="B157" s="669"/>
      <c r="C157" s="670"/>
      <c r="D157" s="671"/>
      <c r="E157" s="672"/>
      <c r="F157" s="592"/>
    </row>
    <row r="158" spans="1:6" s="572" customFormat="1" x14ac:dyDescent="0.25">
      <c r="A158" s="662"/>
      <c r="B158" s="663" t="s">
        <v>1059</v>
      </c>
      <c r="C158" s="664"/>
      <c r="D158" s="665"/>
      <c r="E158" s="666"/>
      <c r="F158" s="673">
        <f>F156</f>
        <v>2812600</v>
      </c>
    </row>
    <row r="159" spans="1:6" s="572" customFormat="1" x14ac:dyDescent="0.25">
      <c r="A159" s="662"/>
      <c r="B159" s="663"/>
      <c r="C159" s="664"/>
      <c r="D159" s="665"/>
      <c r="E159" s="666"/>
      <c r="F159" s="673"/>
    </row>
    <row r="160" spans="1:6" s="572" customFormat="1" x14ac:dyDescent="0.25">
      <c r="A160" s="587">
        <v>2.2999999999999998</v>
      </c>
      <c r="B160" s="588" t="s">
        <v>1060</v>
      </c>
      <c r="C160" s="589"/>
      <c r="D160" s="590"/>
      <c r="E160" s="591"/>
      <c r="F160" s="592"/>
    </row>
    <row r="161" spans="1:6" s="572" customFormat="1" ht="16.5" x14ac:dyDescent="0.25">
      <c r="A161" s="593" t="s">
        <v>956</v>
      </c>
      <c r="B161" s="600" t="s">
        <v>55</v>
      </c>
      <c r="C161" s="589" t="s">
        <v>950</v>
      </c>
      <c r="D161" s="607">
        <f>8*8</f>
        <v>64</v>
      </c>
      <c r="E161" s="596">
        <v>1000</v>
      </c>
      <c r="F161" s="597">
        <f>D161*E161</f>
        <v>64000</v>
      </c>
    </row>
    <row r="162" spans="1:6" s="572" customFormat="1" ht="16.5" x14ac:dyDescent="0.25">
      <c r="A162" s="593" t="s">
        <v>957</v>
      </c>
      <c r="B162" s="600" t="s">
        <v>56</v>
      </c>
      <c r="C162" s="589" t="s">
        <v>951</v>
      </c>
      <c r="D162" s="607">
        <f>(6.5*6.5)*4*50%</f>
        <v>84.5</v>
      </c>
      <c r="E162" s="596">
        <v>2000</v>
      </c>
      <c r="F162" s="597">
        <f>D162*E162</f>
        <v>169000</v>
      </c>
    </row>
    <row r="163" spans="1:6" s="572" customFormat="1" ht="16.5" x14ac:dyDescent="0.25">
      <c r="A163" s="593" t="s">
        <v>958</v>
      </c>
      <c r="B163" s="600" t="s">
        <v>952</v>
      </c>
      <c r="C163" s="589" t="s">
        <v>951</v>
      </c>
      <c r="D163" s="607">
        <f>(6.5*6.5)*2*50%</f>
        <v>42.25</v>
      </c>
      <c r="E163" s="599">
        <v>2500</v>
      </c>
      <c r="F163" s="601">
        <f>E163*D163</f>
        <v>105625</v>
      </c>
    </row>
    <row r="164" spans="1:6" s="572" customFormat="1" ht="16.5" x14ac:dyDescent="0.25">
      <c r="A164" s="593" t="s">
        <v>959</v>
      </c>
      <c r="B164" s="600" t="s">
        <v>953</v>
      </c>
      <c r="C164" s="589" t="s">
        <v>951</v>
      </c>
      <c r="D164" s="607">
        <f>(6.5*6.5)*2*50%</f>
        <v>42.25</v>
      </c>
      <c r="E164" s="599">
        <v>3000</v>
      </c>
      <c r="F164" s="601">
        <f>E164*D164</f>
        <v>126750</v>
      </c>
    </row>
    <row r="165" spans="1:6" s="572" customFormat="1" ht="42.75" x14ac:dyDescent="0.25">
      <c r="A165" s="593" t="s">
        <v>960</v>
      </c>
      <c r="B165" s="600" t="s">
        <v>954</v>
      </c>
      <c r="C165" s="602" t="s">
        <v>11</v>
      </c>
      <c r="D165" s="606">
        <v>10</v>
      </c>
      <c r="E165" s="599">
        <v>12000</v>
      </c>
      <c r="F165" s="604">
        <f t="shared" ref="F165:F171" si="9">D165*E165</f>
        <v>120000</v>
      </c>
    </row>
    <row r="166" spans="1:6" s="572" customFormat="1" ht="28.5" x14ac:dyDescent="0.25">
      <c r="A166" s="593" t="s">
        <v>961</v>
      </c>
      <c r="B166" s="600" t="s">
        <v>57</v>
      </c>
      <c r="C166" s="589" t="s">
        <v>951</v>
      </c>
      <c r="D166" s="607">
        <f>(4.93*3)*3</f>
        <v>44.37</v>
      </c>
      <c r="E166" s="596">
        <v>50000</v>
      </c>
      <c r="F166" s="597">
        <f t="shared" si="9"/>
        <v>2218500</v>
      </c>
    </row>
    <row r="167" spans="1:6" s="572" customFormat="1" ht="28.5" x14ac:dyDescent="0.25">
      <c r="A167" s="593" t="s">
        <v>962</v>
      </c>
      <c r="B167" s="600" t="s">
        <v>58</v>
      </c>
      <c r="C167" s="589" t="s">
        <v>950</v>
      </c>
      <c r="D167" s="607">
        <f>4.5*3*0.2</f>
        <v>2.7</v>
      </c>
      <c r="E167" s="596">
        <v>5000</v>
      </c>
      <c r="F167" s="597">
        <f t="shared" si="9"/>
        <v>13500</v>
      </c>
    </row>
    <row r="168" spans="1:6" s="572" customFormat="1" ht="16.5" x14ac:dyDescent="0.25">
      <c r="A168" s="593" t="s">
        <v>963</v>
      </c>
      <c r="B168" s="600" t="s">
        <v>59</v>
      </c>
      <c r="C168" s="589" t="s">
        <v>951</v>
      </c>
      <c r="D168" s="607">
        <f>(3.18+2.5)*0.3*1*4</f>
        <v>6.8159999999999998</v>
      </c>
      <c r="E168" s="596">
        <v>50000</v>
      </c>
      <c r="F168" s="597">
        <f t="shared" si="9"/>
        <v>340800</v>
      </c>
    </row>
    <row r="169" spans="1:6" s="572" customFormat="1" ht="16.5" x14ac:dyDescent="0.25">
      <c r="A169" s="593" t="s">
        <v>964</v>
      </c>
      <c r="B169" s="600" t="s">
        <v>60</v>
      </c>
      <c r="C169" s="589" t="s">
        <v>951</v>
      </c>
      <c r="D169" s="607">
        <f>4.5*6*0.15</f>
        <v>4.05</v>
      </c>
      <c r="E169" s="596">
        <v>1500</v>
      </c>
      <c r="F169" s="597">
        <f t="shared" si="9"/>
        <v>6075</v>
      </c>
    </row>
    <row r="170" spans="1:6" s="572" customFormat="1" ht="28.5" x14ac:dyDescent="0.25">
      <c r="A170" s="593" t="s">
        <v>965</v>
      </c>
      <c r="B170" s="600" t="s">
        <v>61</v>
      </c>
      <c r="C170" s="589" t="s">
        <v>951</v>
      </c>
      <c r="D170" s="607">
        <f>D162+D163+D164-D166-D168-D169</f>
        <v>113.764</v>
      </c>
      <c r="E170" s="596">
        <v>1500</v>
      </c>
      <c r="F170" s="597">
        <f t="shared" si="9"/>
        <v>170646</v>
      </c>
    </row>
    <row r="171" spans="1:6" s="572" customFormat="1" ht="28.5" x14ac:dyDescent="0.25">
      <c r="A171" s="593" t="s">
        <v>966</v>
      </c>
      <c r="B171" s="605" t="s">
        <v>955</v>
      </c>
      <c r="C171" s="602" t="s">
        <v>951</v>
      </c>
      <c r="D171" s="607">
        <f>8*4*0.8*0.5</f>
        <v>12.8</v>
      </c>
      <c r="E171" s="599">
        <v>1500</v>
      </c>
      <c r="F171" s="604">
        <f t="shared" si="9"/>
        <v>19200</v>
      </c>
    </row>
    <row r="172" spans="1:6" s="572" customFormat="1" ht="28.5" x14ac:dyDescent="0.25">
      <c r="A172" s="593" t="s">
        <v>967</v>
      </c>
      <c r="B172" s="605" t="s">
        <v>63</v>
      </c>
      <c r="C172" s="602" t="s">
        <v>11</v>
      </c>
      <c r="D172" s="607">
        <f>8*4</f>
        <v>32</v>
      </c>
      <c r="E172" s="599">
        <v>600</v>
      </c>
      <c r="F172" s="604">
        <f>D172*E172</f>
        <v>19200</v>
      </c>
    </row>
    <row r="173" spans="1:6" s="572" customFormat="1" ht="16.5" x14ac:dyDescent="0.25">
      <c r="A173" s="593" t="s">
        <v>968</v>
      </c>
      <c r="B173" s="600" t="s">
        <v>64</v>
      </c>
      <c r="C173" s="589" t="s">
        <v>950</v>
      </c>
      <c r="D173" s="607">
        <f>D161</f>
        <v>64</v>
      </c>
      <c r="E173" s="596">
        <v>500</v>
      </c>
      <c r="F173" s="597">
        <f>D173*E173</f>
        <v>32000</v>
      </c>
    </row>
    <row r="174" spans="1:6" s="572" customFormat="1" x14ac:dyDescent="0.25">
      <c r="A174" s="662"/>
      <c r="B174" s="663" t="s">
        <v>969</v>
      </c>
      <c r="C174" s="664"/>
      <c r="D174" s="665"/>
      <c r="E174" s="666"/>
      <c r="F174" s="667">
        <f>SUM(F161:F173)</f>
        <v>3405296</v>
      </c>
    </row>
    <row r="175" spans="1:6" s="572" customFormat="1" x14ac:dyDescent="0.25">
      <c r="A175" s="668"/>
      <c r="B175" s="669"/>
      <c r="C175" s="670"/>
      <c r="D175" s="671"/>
      <c r="E175" s="672"/>
      <c r="F175" s="592"/>
    </row>
    <row r="176" spans="1:6" s="572" customFormat="1" x14ac:dyDescent="0.25">
      <c r="A176" s="662"/>
      <c r="B176" s="663" t="s">
        <v>1055</v>
      </c>
      <c r="C176" s="664"/>
      <c r="D176" s="665"/>
      <c r="E176" s="666"/>
      <c r="F176" s="673">
        <f>F174</f>
        <v>3405296</v>
      </c>
    </row>
    <row r="177" spans="1:6" s="572" customFormat="1" x14ac:dyDescent="0.25">
      <c r="A177" s="668"/>
      <c r="B177" s="669"/>
      <c r="C177" s="670"/>
      <c r="D177" s="671"/>
      <c r="E177" s="672"/>
      <c r="F177" s="675"/>
    </row>
    <row r="178" spans="1:6" s="572" customFormat="1" x14ac:dyDescent="0.25">
      <c r="A178" s="668"/>
      <c r="B178" s="669"/>
      <c r="C178" s="670"/>
      <c r="D178" s="671"/>
      <c r="E178" s="672"/>
      <c r="F178" s="675"/>
    </row>
    <row r="179" spans="1:6" s="572" customFormat="1" x14ac:dyDescent="0.25">
      <c r="A179" s="587">
        <v>2.2000000000000002</v>
      </c>
      <c r="B179" s="588" t="s">
        <v>1061</v>
      </c>
      <c r="C179" s="589"/>
      <c r="D179" s="590"/>
      <c r="E179" s="591"/>
      <c r="F179" s="592"/>
    </row>
    <row r="180" spans="1:6" s="572" customFormat="1" ht="16.5" x14ac:dyDescent="0.25">
      <c r="A180" s="593" t="s">
        <v>118</v>
      </c>
      <c r="B180" s="600" t="s">
        <v>55</v>
      </c>
      <c r="C180" s="589" t="s">
        <v>950</v>
      </c>
      <c r="D180" s="680">
        <f>(7.5*7.5*PI())</f>
        <v>176.71458676442586</v>
      </c>
      <c r="E180" s="596">
        <v>1000</v>
      </c>
      <c r="F180" s="597">
        <f>D180*E180</f>
        <v>176714.58676442585</v>
      </c>
    </row>
    <row r="181" spans="1:6" s="572" customFormat="1" ht="16.5" x14ac:dyDescent="0.25">
      <c r="A181" s="593" t="s">
        <v>119</v>
      </c>
      <c r="B181" s="600" t="s">
        <v>56</v>
      </c>
      <c r="C181" s="589" t="s">
        <v>951</v>
      </c>
      <c r="D181" s="680">
        <f>(4.5*4.5*PI())*4</f>
        <v>254.46900494077323</v>
      </c>
      <c r="E181" s="596">
        <v>2000</v>
      </c>
      <c r="F181" s="597">
        <f>D181*E181</f>
        <v>508938.00988154649</v>
      </c>
    </row>
    <row r="182" spans="1:6" s="572" customFormat="1" ht="16.5" x14ac:dyDescent="0.25">
      <c r="A182" s="593" t="s">
        <v>120</v>
      </c>
      <c r="B182" s="600" t="s">
        <v>952</v>
      </c>
      <c r="C182" s="589" t="s">
        <v>951</v>
      </c>
      <c r="D182" s="680">
        <f>(4.5*4.5*PI())*2</f>
        <v>127.23450247038662</v>
      </c>
      <c r="E182" s="599">
        <v>2500</v>
      </c>
      <c r="F182" s="601">
        <f>E182*D182</f>
        <v>318086.25617596653</v>
      </c>
    </row>
    <row r="183" spans="1:6" s="572" customFormat="1" ht="16.5" x14ac:dyDescent="0.25">
      <c r="A183" s="593" t="s">
        <v>121</v>
      </c>
      <c r="B183" s="600" t="s">
        <v>953</v>
      </c>
      <c r="C183" s="589" t="s">
        <v>951</v>
      </c>
      <c r="D183" s="680">
        <f>(4.5*4.5*PI())*2.5</f>
        <v>159.04312808798326</v>
      </c>
      <c r="E183" s="599">
        <v>3000</v>
      </c>
      <c r="F183" s="601">
        <f>E183*D183</f>
        <v>477129.38426394976</v>
      </c>
    </row>
    <row r="184" spans="1:6" s="572" customFormat="1" ht="42.75" x14ac:dyDescent="0.25">
      <c r="A184" s="593" t="s">
        <v>122</v>
      </c>
      <c r="B184" s="600" t="s">
        <v>954</v>
      </c>
      <c r="C184" s="602" t="s">
        <v>11</v>
      </c>
      <c r="D184" s="681">
        <v>30</v>
      </c>
      <c r="E184" s="678">
        <v>12000</v>
      </c>
      <c r="F184" s="679">
        <f t="shared" ref="F184:F190" si="10">D184*E184</f>
        <v>360000</v>
      </c>
    </row>
    <row r="185" spans="1:6" s="572" customFormat="1" ht="28.5" x14ac:dyDescent="0.25">
      <c r="A185" s="593" t="s">
        <v>123</v>
      </c>
      <c r="B185" s="600" t="s">
        <v>57</v>
      </c>
      <c r="C185" s="589" t="s">
        <v>951</v>
      </c>
      <c r="D185" s="680">
        <f>(3.5*3.5*PI())*0.6</f>
        <v>23.090706003884979</v>
      </c>
      <c r="E185" s="596">
        <v>50000</v>
      </c>
      <c r="F185" s="597">
        <f t="shared" si="10"/>
        <v>1154535.300194249</v>
      </c>
    </row>
    <row r="186" spans="1:6" s="572" customFormat="1" ht="28.5" x14ac:dyDescent="0.25">
      <c r="A186" s="593" t="s">
        <v>124</v>
      </c>
      <c r="B186" s="600" t="s">
        <v>58</v>
      </c>
      <c r="C186" s="589" t="s">
        <v>950</v>
      </c>
      <c r="D186" s="680">
        <f>(3*3*PI())</f>
        <v>28.274333882308138</v>
      </c>
      <c r="E186" s="596">
        <v>5000</v>
      </c>
      <c r="F186" s="597">
        <f t="shared" si="10"/>
        <v>141371.6694115407</v>
      </c>
    </row>
    <row r="187" spans="1:6" s="572" customFormat="1" ht="16.5" x14ac:dyDescent="0.25">
      <c r="A187" s="593" t="s">
        <v>125</v>
      </c>
      <c r="B187" s="600" t="s">
        <v>59</v>
      </c>
      <c r="C187" s="589" t="s">
        <v>951</v>
      </c>
      <c r="D187" s="680">
        <f>(3*3*PI())*0.3</f>
        <v>8.4823001646924414</v>
      </c>
      <c r="E187" s="596">
        <v>50000</v>
      </c>
      <c r="F187" s="597">
        <f t="shared" si="10"/>
        <v>424115.00823462207</v>
      </c>
    </row>
    <row r="188" spans="1:6" s="572" customFormat="1" ht="16.5" x14ac:dyDescent="0.25">
      <c r="A188" s="593" t="s">
        <v>126</v>
      </c>
      <c r="B188" s="600" t="s">
        <v>60</v>
      </c>
      <c r="C188" s="589" t="s">
        <v>951</v>
      </c>
      <c r="D188" s="680">
        <f>(4*4*PI())*1</f>
        <v>50.26548245743669</v>
      </c>
      <c r="E188" s="596">
        <v>1500</v>
      </c>
      <c r="F188" s="597">
        <f t="shared" si="10"/>
        <v>75398.223686155034</v>
      </c>
    </row>
    <row r="189" spans="1:6" s="572" customFormat="1" ht="28.5" x14ac:dyDescent="0.25">
      <c r="A189" s="593" t="s">
        <v>127</v>
      </c>
      <c r="B189" s="600" t="s">
        <v>61</v>
      </c>
      <c r="C189" s="589" t="s">
        <v>951</v>
      </c>
      <c r="D189" s="607">
        <f>D181+D182+D183-D185-D187-D188</f>
        <v>458.90814687312906</v>
      </c>
      <c r="E189" s="596">
        <v>1500</v>
      </c>
      <c r="F189" s="597">
        <f t="shared" si="10"/>
        <v>688362.2203096936</v>
      </c>
    </row>
    <row r="190" spans="1:6" s="572" customFormat="1" ht="28.5" x14ac:dyDescent="0.25">
      <c r="A190" s="593" t="s">
        <v>128</v>
      </c>
      <c r="B190" s="605" t="s">
        <v>955</v>
      </c>
      <c r="C190" s="602" t="s">
        <v>951</v>
      </c>
      <c r="D190" s="680">
        <f>(7.5*2*PI())*0.5*0.8</f>
        <v>18.849555921538759</v>
      </c>
      <c r="E190" s="599">
        <v>1500</v>
      </c>
      <c r="F190" s="604">
        <f t="shared" si="10"/>
        <v>28274.333882308139</v>
      </c>
    </row>
    <row r="191" spans="1:6" s="572" customFormat="1" ht="28.5" x14ac:dyDescent="0.25">
      <c r="A191" s="593" t="s">
        <v>129</v>
      </c>
      <c r="B191" s="605" t="s">
        <v>63</v>
      </c>
      <c r="C191" s="602" t="s">
        <v>11</v>
      </c>
      <c r="D191" s="680">
        <f>(7.5*2*PI())</f>
        <v>47.123889803846893</v>
      </c>
      <c r="E191" s="599">
        <v>600</v>
      </c>
      <c r="F191" s="604">
        <f>D191*E191</f>
        <v>28274.333882308136</v>
      </c>
    </row>
    <row r="192" spans="1:6" s="572" customFormat="1" ht="16.5" x14ac:dyDescent="0.25">
      <c r="A192" s="593" t="s">
        <v>130</v>
      </c>
      <c r="B192" s="600" t="s">
        <v>64</v>
      </c>
      <c r="C192" s="589" t="s">
        <v>950</v>
      </c>
      <c r="D192" s="680">
        <f>D180</f>
        <v>176.71458676442586</v>
      </c>
      <c r="E192" s="596">
        <v>500</v>
      </c>
      <c r="F192" s="597">
        <f>D192*E192</f>
        <v>88357.293382212927</v>
      </c>
    </row>
    <row r="193" spans="1:6" s="572" customFormat="1" x14ac:dyDescent="0.25">
      <c r="A193" s="662"/>
      <c r="B193" s="663" t="s">
        <v>131</v>
      </c>
      <c r="C193" s="664"/>
      <c r="D193" s="665"/>
      <c r="E193" s="666"/>
      <c r="F193" s="667">
        <f>SUM(F180:F192)</f>
        <v>4469556.6200689785</v>
      </c>
    </row>
    <row r="194" spans="1:6" s="572" customFormat="1" x14ac:dyDescent="0.25">
      <c r="A194" s="668"/>
      <c r="B194" s="669"/>
      <c r="C194" s="670"/>
      <c r="D194" s="671"/>
      <c r="E194" s="672"/>
      <c r="F194" s="592"/>
    </row>
    <row r="195" spans="1:6" s="572" customFormat="1" x14ac:dyDescent="0.25">
      <c r="A195" s="662"/>
      <c r="B195" s="663" t="s">
        <v>1059</v>
      </c>
      <c r="C195" s="664"/>
      <c r="D195" s="665"/>
      <c r="E195" s="666"/>
      <c r="F195" s="673">
        <f>F193</f>
        <v>4469556.6200689785</v>
      </c>
    </row>
    <row r="196" spans="1:6" s="572" customFormat="1" x14ac:dyDescent="0.25">
      <c r="A196" s="662"/>
      <c r="B196" s="663"/>
      <c r="C196" s="664"/>
      <c r="D196" s="665"/>
      <c r="E196" s="666"/>
      <c r="F196" s="673"/>
    </row>
    <row r="198" spans="1:6" s="641" customFormat="1" ht="15.75" x14ac:dyDescent="0.25">
      <c r="A198" s="635">
        <v>2.4</v>
      </c>
      <c r="B198" s="653" t="s">
        <v>1062</v>
      </c>
      <c r="C198" s="533"/>
      <c r="D198" s="651"/>
      <c r="E198" s="652"/>
      <c r="F198" s="640"/>
    </row>
    <row r="199" spans="1:6" s="641" customFormat="1" ht="18.75" x14ac:dyDescent="0.25">
      <c r="A199" s="682" t="s">
        <v>974</v>
      </c>
      <c r="B199" s="683" t="s">
        <v>55</v>
      </c>
      <c r="C199" s="533" t="s">
        <v>633</v>
      </c>
      <c r="D199" s="684">
        <f>(15*15*PI())*1.25</f>
        <v>883.57293382212924</v>
      </c>
      <c r="E199" s="685">
        <v>1000</v>
      </c>
      <c r="F199" s="686">
        <f>D199*E199</f>
        <v>883572.93382212927</v>
      </c>
    </row>
    <row r="200" spans="1:6" s="641" customFormat="1" ht="18.75" x14ac:dyDescent="0.25">
      <c r="A200" s="682" t="s">
        <v>975</v>
      </c>
      <c r="B200" s="683" t="s">
        <v>56</v>
      </c>
      <c r="C200" s="533" t="s">
        <v>1040</v>
      </c>
      <c r="D200" s="687">
        <f>(6*6*PI())*6</f>
        <v>678.58401317539528</v>
      </c>
      <c r="E200" s="685">
        <v>2000</v>
      </c>
      <c r="F200" s="686">
        <f>D200*E200</f>
        <v>1357168.0263507906</v>
      </c>
    </row>
    <row r="201" spans="1:6" s="641" customFormat="1" ht="18.75" x14ac:dyDescent="0.25">
      <c r="A201" s="682" t="s">
        <v>976</v>
      </c>
      <c r="B201" s="683" t="s">
        <v>952</v>
      </c>
      <c r="C201" s="533" t="s">
        <v>1040</v>
      </c>
      <c r="D201" s="687">
        <f>(5*5*PI())*3</f>
        <v>235.61944901923448</v>
      </c>
      <c r="E201" s="644">
        <v>2500</v>
      </c>
      <c r="F201" s="688">
        <f>E201*D201</f>
        <v>589048.62254808622</v>
      </c>
    </row>
    <row r="202" spans="1:6" s="641" customFormat="1" ht="18.75" x14ac:dyDescent="0.25">
      <c r="A202" s="682" t="s">
        <v>977</v>
      </c>
      <c r="B202" s="683" t="s">
        <v>953</v>
      </c>
      <c r="C202" s="533" t="s">
        <v>1040</v>
      </c>
      <c r="D202" s="687">
        <f>(5*5*PI())*2</f>
        <v>157.07963267948966</v>
      </c>
      <c r="E202" s="644">
        <v>3000</v>
      </c>
      <c r="F202" s="688">
        <f>E202*D202</f>
        <v>471238.89803846896</v>
      </c>
    </row>
    <row r="203" spans="1:6" s="641" customFormat="1" ht="47.25" x14ac:dyDescent="0.25">
      <c r="A203" s="682" t="s">
        <v>978</v>
      </c>
      <c r="B203" s="642" t="s">
        <v>954</v>
      </c>
      <c r="C203" s="649" t="s">
        <v>11</v>
      </c>
      <c r="D203" s="689">
        <v>30</v>
      </c>
      <c r="E203" s="644">
        <v>12000</v>
      </c>
      <c r="F203" s="650">
        <f t="shared" ref="F203:F209" si="11">D203*E203</f>
        <v>360000</v>
      </c>
    </row>
    <row r="204" spans="1:6" s="641" customFormat="1" ht="18.75" x14ac:dyDescent="0.25">
      <c r="A204" s="682" t="s">
        <v>979</v>
      </c>
      <c r="B204" s="683" t="s">
        <v>57</v>
      </c>
      <c r="C204" s="533" t="s">
        <v>1040</v>
      </c>
      <c r="D204" s="687">
        <f>15*0.6*2</f>
        <v>18</v>
      </c>
      <c r="E204" s="685">
        <v>50000</v>
      </c>
      <c r="F204" s="686">
        <f t="shared" si="11"/>
        <v>900000</v>
      </c>
    </row>
    <row r="205" spans="1:6" s="641" customFormat="1" ht="31.5" x14ac:dyDescent="0.25">
      <c r="A205" s="682" t="s">
        <v>980</v>
      </c>
      <c r="B205" s="683" t="s">
        <v>58</v>
      </c>
      <c r="C205" s="533" t="s">
        <v>633</v>
      </c>
      <c r="D205" s="687">
        <f>20*0.6</f>
        <v>12</v>
      </c>
      <c r="E205" s="685">
        <v>5000</v>
      </c>
      <c r="F205" s="686">
        <f t="shared" si="11"/>
        <v>60000</v>
      </c>
    </row>
    <row r="206" spans="1:6" s="641" customFormat="1" ht="18.75" x14ac:dyDescent="0.25">
      <c r="A206" s="682" t="s">
        <v>981</v>
      </c>
      <c r="B206" s="683" t="s">
        <v>59</v>
      </c>
      <c r="C206" s="533" t="s">
        <v>1040</v>
      </c>
      <c r="D206" s="687">
        <f>20*6*0.3</f>
        <v>36</v>
      </c>
      <c r="E206" s="685">
        <v>50000</v>
      </c>
      <c r="F206" s="686">
        <f t="shared" si="11"/>
        <v>1800000</v>
      </c>
    </row>
    <row r="207" spans="1:6" s="641" customFormat="1" ht="18.75" x14ac:dyDescent="0.25">
      <c r="A207" s="682" t="s">
        <v>982</v>
      </c>
      <c r="B207" s="683" t="s">
        <v>60</v>
      </c>
      <c r="C207" s="533" t="s">
        <v>1040</v>
      </c>
      <c r="D207" s="687">
        <f>20*6*0.15</f>
        <v>18</v>
      </c>
      <c r="E207" s="685">
        <v>1500</v>
      </c>
      <c r="F207" s="686">
        <f t="shared" si="11"/>
        <v>27000</v>
      </c>
    </row>
    <row r="208" spans="1:6" s="641" customFormat="1" ht="31.5" x14ac:dyDescent="0.25">
      <c r="A208" s="682" t="s">
        <v>983</v>
      </c>
      <c r="B208" s="683" t="s">
        <v>61</v>
      </c>
      <c r="C208" s="533" t="s">
        <v>1040</v>
      </c>
      <c r="D208" s="687">
        <f>D199*0.2</f>
        <v>176.71458676442586</v>
      </c>
      <c r="E208" s="685">
        <v>1500</v>
      </c>
      <c r="F208" s="686">
        <f t="shared" si="11"/>
        <v>265071.88014663878</v>
      </c>
    </row>
    <row r="209" spans="1:6" s="641" customFormat="1" ht="31.5" x14ac:dyDescent="0.25">
      <c r="A209" s="682" t="s">
        <v>984</v>
      </c>
      <c r="B209" s="642" t="s">
        <v>955</v>
      </c>
      <c r="C209" s="649" t="s">
        <v>1040</v>
      </c>
      <c r="D209" s="689">
        <f>(30*PI())*0.5*0.8</f>
        <v>37.699111843077517</v>
      </c>
      <c r="E209" s="644">
        <v>1500</v>
      </c>
      <c r="F209" s="650">
        <f t="shared" si="11"/>
        <v>56548.667764616279</v>
      </c>
    </row>
    <row r="210" spans="1:6" s="641" customFormat="1" ht="31.5" x14ac:dyDescent="0.25">
      <c r="A210" s="682" t="s">
        <v>985</v>
      </c>
      <c r="B210" s="642" t="s">
        <v>63</v>
      </c>
      <c r="C210" s="649" t="s">
        <v>11</v>
      </c>
      <c r="D210" s="689">
        <f>(30*PI())</f>
        <v>94.247779607693786</v>
      </c>
      <c r="E210" s="644">
        <v>600</v>
      </c>
      <c r="F210" s="650">
        <f>D210*E210</f>
        <v>56548.667764616272</v>
      </c>
    </row>
    <row r="211" spans="1:6" s="641" customFormat="1" ht="18.75" x14ac:dyDescent="0.25">
      <c r="A211" s="682" t="s">
        <v>986</v>
      </c>
      <c r="B211" s="683" t="s">
        <v>64</v>
      </c>
      <c r="C211" s="533" t="s">
        <v>633</v>
      </c>
      <c r="D211" s="687">
        <f>D199</f>
        <v>883.57293382212924</v>
      </c>
      <c r="E211" s="685">
        <v>500</v>
      </c>
      <c r="F211" s="686">
        <f>D211*E211</f>
        <v>441786.46691106464</v>
      </c>
    </row>
    <row r="212" spans="1:6" s="641" customFormat="1" ht="15.75" x14ac:dyDescent="0.25">
      <c r="A212" s="657"/>
      <c r="B212" s="645" t="s">
        <v>1047</v>
      </c>
      <c r="C212" s="646"/>
      <c r="D212" s="647"/>
      <c r="E212" s="648"/>
      <c r="F212" s="690">
        <f>SUM(F199:F211)</f>
        <v>7267984.1633464107</v>
      </c>
    </row>
    <row r="213" spans="1:6" s="641" customFormat="1" ht="15.75" x14ac:dyDescent="0.25">
      <c r="A213" s="657"/>
      <c r="B213" s="645"/>
      <c r="C213" s="646"/>
      <c r="D213" s="647"/>
      <c r="E213" s="648"/>
      <c r="F213" s="690"/>
    </row>
    <row r="215" spans="1:6" s="323" customFormat="1" ht="15.75" x14ac:dyDescent="0.25">
      <c r="A215" s="691">
        <v>4</v>
      </c>
      <c r="B215" s="894" t="s">
        <v>1063</v>
      </c>
      <c r="C215" s="894"/>
      <c r="D215" s="894"/>
      <c r="E215" s="894"/>
      <c r="F215" s="894"/>
    </row>
    <row r="216" spans="1:6" s="323" customFormat="1" ht="15.75" x14ac:dyDescent="0.25">
      <c r="A216" s="324"/>
      <c r="B216" s="325"/>
      <c r="C216" s="326"/>
      <c r="D216" s="327"/>
      <c r="E216" s="328"/>
      <c r="F216" s="329"/>
    </row>
    <row r="217" spans="1:6" s="1" customFormat="1" ht="15.75" x14ac:dyDescent="0.25">
      <c r="A217" s="692"/>
      <c r="B217" s="693" t="s">
        <v>1064</v>
      </c>
      <c r="C217" s="694"/>
      <c r="D217" s="695"/>
      <c r="E217" s="696"/>
      <c r="F217" s="697"/>
    </row>
    <row r="218" spans="1:6" s="1" customFormat="1" ht="18.75" x14ac:dyDescent="0.25">
      <c r="A218" s="633">
        <v>477</v>
      </c>
      <c r="B218" s="330" t="s">
        <v>55</v>
      </c>
      <c r="C218" s="80" t="s">
        <v>194</v>
      </c>
      <c r="D218" s="607">
        <f>9*9</f>
        <v>81</v>
      </c>
      <c r="E218" s="331">
        <v>1000</v>
      </c>
      <c r="F218" s="331">
        <f>D218*E218</f>
        <v>81000</v>
      </c>
    </row>
    <row r="219" spans="1:6" s="1" customFormat="1" ht="18.75" x14ac:dyDescent="0.25">
      <c r="A219" s="633">
        <v>478</v>
      </c>
      <c r="B219" s="330" t="s">
        <v>56</v>
      </c>
      <c r="C219" s="80" t="s">
        <v>195</v>
      </c>
      <c r="D219" s="607">
        <f>(6.5*6.5)*2*40%</f>
        <v>33.800000000000004</v>
      </c>
      <c r="E219" s="331">
        <v>2000</v>
      </c>
      <c r="F219" s="331">
        <f t="shared" ref="F219:F226" si="12">D219*E219</f>
        <v>67600.000000000015</v>
      </c>
    </row>
    <row r="220" spans="1:6" s="1" customFormat="1" ht="18.75" x14ac:dyDescent="0.25">
      <c r="A220" s="633">
        <v>479</v>
      </c>
      <c r="B220" s="330" t="s">
        <v>611</v>
      </c>
      <c r="C220" s="80" t="s">
        <v>195</v>
      </c>
      <c r="D220" s="607">
        <f>(6.5*6.5)*2*60%</f>
        <v>50.699999999999996</v>
      </c>
      <c r="E220" s="331">
        <v>2500</v>
      </c>
      <c r="F220" s="331">
        <f t="shared" si="12"/>
        <v>126749.99999999999</v>
      </c>
    </row>
    <row r="221" spans="1:6" s="1" customFormat="1" ht="47.25" x14ac:dyDescent="0.25">
      <c r="A221" s="633">
        <v>480</v>
      </c>
      <c r="B221" s="330" t="s">
        <v>612</v>
      </c>
      <c r="C221" s="80" t="s">
        <v>11</v>
      </c>
      <c r="D221" s="606">
        <v>10</v>
      </c>
      <c r="E221" s="331">
        <v>3000</v>
      </c>
      <c r="F221" s="331">
        <f t="shared" si="12"/>
        <v>30000</v>
      </c>
    </row>
    <row r="222" spans="1:6" s="1" customFormat="1" ht="18.75" x14ac:dyDescent="0.25">
      <c r="A222" s="633">
        <v>481</v>
      </c>
      <c r="B222" s="330" t="s">
        <v>57</v>
      </c>
      <c r="C222" s="80" t="s">
        <v>195</v>
      </c>
      <c r="D222" s="607">
        <f>(3.93*8)*0.3</f>
        <v>9.4320000000000004</v>
      </c>
      <c r="E222" s="331">
        <v>12000</v>
      </c>
      <c r="F222" s="331">
        <f t="shared" si="12"/>
        <v>113184</v>
      </c>
    </row>
    <row r="223" spans="1:6" s="1" customFormat="1" ht="31.5" x14ac:dyDescent="0.25">
      <c r="A223" s="633">
        <v>482</v>
      </c>
      <c r="B223" s="330" t="s">
        <v>58</v>
      </c>
      <c r="C223" s="80" t="s">
        <v>194</v>
      </c>
      <c r="D223" s="607">
        <f>3.5*3*0.2</f>
        <v>2.1</v>
      </c>
      <c r="E223" s="331">
        <v>50000</v>
      </c>
      <c r="F223" s="331">
        <f t="shared" si="12"/>
        <v>105000</v>
      </c>
    </row>
    <row r="224" spans="1:6" s="1" customFormat="1" ht="18.75" x14ac:dyDescent="0.25">
      <c r="A224" s="633">
        <v>483</v>
      </c>
      <c r="B224" s="330" t="s">
        <v>59</v>
      </c>
      <c r="C224" s="80" t="s">
        <v>195</v>
      </c>
      <c r="D224" s="607">
        <f>(3.18+2.5)*0.3*1*2</f>
        <v>3.4079999999999999</v>
      </c>
      <c r="E224" s="331">
        <v>5000</v>
      </c>
      <c r="F224" s="331">
        <f t="shared" si="12"/>
        <v>17040</v>
      </c>
    </row>
    <row r="225" spans="1:6" s="1" customFormat="1" ht="18.75" x14ac:dyDescent="0.25">
      <c r="A225" s="633">
        <v>484</v>
      </c>
      <c r="B225" s="330" t="s">
        <v>60</v>
      </c>
      <c r="C225" s="80" t="s">
        <v>195</v>
      </c>
      <c r="D225" s="607">
        <f>3.5*3*0.15</f>
        <v>1.575</v>
      </c>
      <c r="E225" s="331">
        <v>50000</v>
      </c>
      <c r="F225" s="331">
        <f t="shared" si="12"/>
        <v>78750</v>
      </c>
    </row>
    <row r="226" spans="1:6" s="1" customFormat="1" ht="31.5" x14ac:dyDescent="0.25">
      <c r="A226" s="633">
        <v>485</v>
      </c>
      <c r="B226" s="330" t="s">
        <v>61</v>
      </c>
      <c r="C226" s="80" t="s">
        <v>195</v>
      </c>
      <c r="D226" s="607">
        <f>D218+D219+D220-D222-D224-D225</f>
        <v>151.08500000000004</v>
      </c>
      <c r="E226" s="331">
        <v>1500</v>
      </c>
      <c r="F226" s="331">
        <f t="shared" si="12"/>
        <v>226627.50000000006</v>
      </c>
    </row>
    <row r="227" spans="1:6" s="1" customFormat="1" ht="31.5" x14ac:dyDescent="0.25">
      <c r="A227" s="633">
        <v>486</v>
      </c>
      <c r="B227" s="330" t="s">
        <v>62</v>
      </c>
      <c r="C227" s="80" t="s">
        <v>195</v>
      </c>
      <c r="D227" s="607">
        <f>9*4*0.8*0.5</f>
        <v>14.4</v>
      </c>
      <c r="E227" s="331">
        <v>1500</v>
      </c>
      <c r="F227" s="331">
        <f>D227*E227</f>
        <v>21600</v>
      </c>
    </row>
    <row r="228" spans="1:6" s="1" customFormat="1" ht="31.5" x14ac:dyDescent="0.25">
      <c r="A228" s="633">
        <v>488</v>
      </c>
      <c r="B228" s="330" t="s">
        <v>63</v>
      </c>
      <c r="C228" s="80" t="s">
        <v>11</v>
      </c>
      <c r="D228" s="607">
        <f>9*4</f>
        <v>36</v>
      </c>
      <c r="E228" s="331">
        <v>600</v>
      </c>
      <c r="F228" s="331">
        <f>D228*E228</f>
        <v>21600</v>
      </c>
    </row>
    <row r="229" spans="1:6" s="1" customFormat="1" ht="18.75" x14ac:dyDescent="0.25">
      <c r="A229" s="633">
        <v>489</v>
      </c>
      <c r="B229" s="330" t="s">
        <v>64</v>
      </c>
      <c r="C229" s="80" t="s">
        <v>194</v>
      </c>
      <c r="D229" s="607">
        <f>D218</f>
        <v>81</v>
      </c>
      <c r="E229" s="331">
        <v>500</v>
      </c>
      <c r="F229" s="331">
        <f t="shared" ref="F229" si="13">D229*E229</f>
        <v>40500</v>
      </c>
    </row>
    <row r="230" spans="1:6" s="1" customFormat="1" ht="15.75" x14ac:dyDescent="0.25">
      <c r="A230" s="698"/>
      <c r="B230" s="699" t="s">
        <v>1065</v>
      </c>
      <c r="C230" s="700"/>
      <c r="D230" s="701"/>
      <c r="E230" s="702"/>
      <c r="F230" s="703">
        <f>SUM(F218:F229)</f>
        <v>929651.5</v>
      </c>
    </row>
    <row r="231" spans="1:6" s="323" customFormat="1" ht="15.75" x14ac:dyDescent="0.25">
      <c r="A231" s="704"/>
      <c r="B231" s="705" t="s">
        <v>1066</v>
      </c>
      <c r="C231" s="706"/>
      <c r="D231" s="707">
        <v>1</v>
      </c>
      <c r="E231" s="708"/>
      <c r="F231" s="709">
        <f>F230*D231</f>
        <v>929651.5</v>
      </c>
    </row>
    <row r="232" spans="1:6" s="323" customFormat="1" ht="15.75" x14ac:dyDescent="0.25">
      <c r="A232" s="324"/>
      <c r="B232" s="325"/>
      <c r="C232" s="326"/>
      <c r="D232" s="327"/>
      <c r="E232" s="328"/>
      <c r="F232" s="329"/>
    </row>
    <row r="233" spans="1:6" s="1" customFormat="1" ht="15.75" x14ac:dyDescent="0.25">
      <c r="A233" s="692"/>
      <c r="B233" s="693" t="s">
        <v>1067</v>
      </c>
      <c r="C233" s="694"/>
      <c r="D233" s="695"/>
      <c r="E233" s="696"/>
      <c r="F233" s="697"/>
    </row>
    <row r="234" spans="1:6" s="1" customFormat="1" ht="18.75" x14ac:dyDescent="0.25">
      <c r="A234" s="633">
        <v>477</v>
      </c>
      <c r="B234" s="330" t="s">
        <v>55</v>
      </c>
      <c r="C234" s="80" t="s">
        <v>194</v>
      </c>
      <c r="D234" s="607">
        <f>8*8</f>
        <v>64</v>
      </c>
      <c r="E234" s="331">
        <v>1000</v>
      </c>
      <c r="F234" s="331">
        <f>D234*E234</f>
        <v>64000</v>
      </c>
    </row>
    <row r="235" spans="1:6" s="1" customFormat="1" ht="18.75" x14ac:dyDescent="0.25">
      <c r="A235" s="633">
        <v>478</v>
      </c>
      <c r="B235" s="330" t="s">
        <v>56</v>
      </c>
      <c r="C235" s="80" t="s">
        <v>195</v>
      </c>
      <c r="D235" s="607">
        <f>(6.5*6.5)*4*50%</f>
        <v>84.5</v>
      </c>
      <c r="E235" s="331">
        <v>2000</v>
      </c>
      <c r="F235" s="331">
        <f t="shared" ref="F235:F245" si="14">D235*E235</f>
        <v>169000</v>
      </c>
    </row>
    <row r="236" spans="1:6" s="1" customFormat="1" ht="18.75" x14ac:dyDescent="0.25">
      <c r="A236" s="633">
        <v>479</v>
      </c>
      <c r="B236" s="330" t="s">
        <v>611</v>
      </c>
      <c r="C236" s="80" t="s">
        <v>195</v>
      </c>
      <c r="D236" s="607">
        <f>(6.5*6.5)*2*50%</f>
        <v>42.25</v>
      </c>
      <c r="E236" s="331">
        <v>2500</v>
      </c>
      <c r="F236" s="331">
        <f t="shared" si="14"/>
        <v>105625</v>
      </c>
    </row>
    <row r="237" spans="1:6" s="1" customFormat="1" ht="47.25" x14ac:dyDescent="0.25">
      <c r="A237" s="633">
        <v>480</v>
      </c>
      <c r="B237" s="330" t="s">
        <v>612</v>
      </c>
      <c r="C237" s="80" t="s">
        <v>11</v>
      </c>
      <c r="D237" s="606">
        <v>10</v>
      </c>
      <c r="E237" s="331">
        <v>3000</v>
      </c>
      <c r="F237" s="331">
        <f t="shared" si="14"/>
        <v>30000</v>
      </c>
    </row>
    <row r="238" spans="1:6" s="1" customFormat="1" ht="18.75" x14ac:dyDescent="0.25">
      <c r="A238" s="633">
        <v>481</v>
      </c>
      <c r="B238" s="330" t="s">
        <v>57</v>
      </c>
      <c r="C238" s="80" t="s">
        <v>195</v>
      </c>
      <c r="D238" s="607">
        <f>(4.93*8)*0.3</f>
        <v>11.831999999999999</v>
      </c>
      <c r="E238" s="331">
        <v>12000</v>
      </c>
      <c r="F238" s="331">
        <f t="shared" si="14"/>
        <v>141984</v>
      </c>
    </row>
    <row r="239" spans="1:6" s="1" customFormat="1" ht="31.5" x14ac:dyDescent="0.25">
      <c r="A239" s="633">
        <v>482</v>
      </c>
      <c r="B239" s="330" t="s">
        <v>58</v>
      </c>
      <c r="C239" s="80" t="s">
        <v>194</v>
      </c>
      <c r="D239" s="607">
        <f>4.5*3*0.2</f>
        <v>2.7</v>
      </c>
      <c r="E239" s="331">
        <v>50000</v>
      </c>
      <c r="F239" s="331">
        <f t="shared" si="14"/>
        <v>135000</v>
      </c>
    </row>
    <row r="240" spans="1:6" s="1" customFormat="1" ht="18.75" x14ac:dyDescent="0.25">
      <c r="A240" s="633">
        <v>483</v>
      </c>
      <c r="B240" s="330" t="s">
        <v>59</v>
      </c>
      <c r="C240" s="80" t="s">
        <v>195</v>
      </c>
      <c r="D240" s="607">
        <f>(3.18+2.5)*0.3*1*4</f>
        <v>6.8159999999999998</v>
      </c>
      <c r="E240" s="331">
        <v>5000</v>
      </c>
      <c r="F240" s="331">
        <f t="shared" si="14"/>
        <v>34080</v>
      </c>
    </row>
    <row r="241" spans="1:6" s="1" customFormat="1" ht="18.75" x14ac:dyDescent="0.25">
      <c r="A241" s="633">
        <v>484</v>
      </c>
      <c r="B241" s="330" t="s">
        <v>60</v>
      </c>
      <c r="C241" s="80" t="s">
        <v>195</v>
      </c>
      <c r="D241" s="607">
        <f>4.5*6*0.15</f>
        <v>4.05</v>
      </c>
      <c r="E241" s="331">
        <v>50000</v>
      </c>
      <c r="F241" s="331">
        <f t="shared" si="14"/>
        <v>202500</v>
      </c>
    </row>
    <row r="242" spans="1:6" s="1" customFormat="1" ht="31.5" x14ac:dyDescent="0.25">
      <c r="A242" s="633">
        <v>485</v>
      </c>
      <c r="B242" s="330" t="s">
        <v>61</v>
      </c>
      <c r="C242" s="80" t="s">
        <v>195</v>
      </c>
      <c r="D242" s="607">
        <f>D234+D235+D236-D238-D240-D241</f>
        <v>168.05199999999999</v>
      </c>
      <c r="E242" s="331">
        <v>1500</v>
      </c>
      <c r="F242" s="331">
        <f t="shared" si="14"/>
        <v>252078</v>
      </c>
    </row>
    <row r="243" spans="1:6" s="1" customFormat="1" ht="31.5" x14ac:dyDescent="0.25">
      <c r="A243" s="633">
        <v>486</v>
      </c>
      <c r="B243" s="330" t="s">
        <v>62</v>
      </c>
      <c r="C243" s="80" t="s">
        <v>195</v>
      </c>
      <c r="D243" s="607">
        <f>8*4*0.8*0.5</f>
        <v>12.8</v>
      </c>
      <c r="E243" s="331">
        <v>1500</v>
      </c>
      <c r="F243" s="331">
        <f>D243*E243</f>
        <v>19200</v>
      </c>
    </row>
    <row r="244" spans="1:6" s="1" customFormat="1" ht="31.5" x14ac:dyDescent="0.25">
      <c r="A244" s="633">
        <v>488</v>
      </c>
      <c r="B244" s="330" t="s">
        <v>63</v>
      </c>
      <c r="C244" s="80" t="s">
        <v>11</v>
      </c>
      <c r="D244" s="607">
        <f>8*4</f>
        <v>32</v>
      </c>
      <c r="E244" s="331">
        <v>600</v>
      </c>
      <c r="F244" s="331">
        <f>D244*E244</f>
        <v>19200</v>
      </c>
    </row>
    <row r="245" spans="1:6" s="1" customFormat="1" ht="18.75" x14ac:dyDescent="0.25">
      <c r="A245" s="633">
        <v>489</v>
      </c>
      <c r="B245" s="330" t="s">
        <v>64</v>
      </c>
      <c r="C245" s="80" t="s">
        <v>194</v>
      </c>
      <c r="D245" s="607">
        <f>D234</f>
        <v>64</v>
      </c>
      <c r="E245" s="331">
        <v>500</v>
      </c>
      <c r="F245" s="331">
        <f t="shared" si="14"/>
        <v>32000</v>
      </c>
    </row>
    <row r="246" spans="1:6" s="1" customFormat="1" ht="15.75" x14ac:dyDescent="0.25">
      <c r="A246" s="698"/>
      <c r="B246" s="699" t="s">
        <v>1065</v>
      </c>
      <c r="C246" s="700"/>
      <c r="D246" s="701"/>
      <c r="E246" s="702"/>
      <c r="F246" s="703">
        <f>SUM(F234:F245)</f>
        <v>1204667</v>
      </c>
    </row>
    <row r="247" spans="1:6" s="323" customFormat="1" ht="15.75" x14ac:dyDescent="0.25">
      <c r="A247" s="704"/>
      <c r="B247" s="705" t="s">
        <v>1066</v>
      </c>
      <c r="C247" s="706"/>
      <c r="D247" s="707">
        <v>1</v>
      </c>
      <c r="E247" s="708"/>
      <c r="F247" s="709">
        <f>F246*D247</f>
        <v>1204667</v>
      </c>
    </row>
    <row r="248" spans="1:6" s="323" customFormat="1" ht="15.75" x14ac:dyDescent="0.25">
      <c r="A248" s="324"/>
      <c r="B248" s="325"/>
      <c r="C248" s="326"/>
      <c r="D248" s="327"/>
      <c r="E248" s="328"/>
      <c r="F248" s="329"/>
    </row>
    <row r="249" spans="1:6" s="1" customFormat="1" ht="15.75" x14ac:dyDescent="0.25">
      <c r="A249" s="692"/>
      <c r="B249" s="693" t="s">
        <v>1068</v>
      </c>
      <c r="C249" s="694"/>
      <c r="D249" s="695"/>
      <c r="E249" s="696"/>
      <c r="F249" s="697"/>
    </row>
    <row r="250" spans="1:6" s="1" customFormat="1" ht="18.75" x14ac:dyDescent="0.25">
      <c r="A250" s="633">
        <v>477</v>
      </c>
      <c r="B250" s="330" t="s">
        <v>55</v>
      </c>
      <c r="C250" s="80" t="s">
        <v>194</v>
      </c>
      <c r="D250" s="607">
        <f>13*13</f>
        <v>169</v>
      </c>
      <c r="E250" s="331">
        <v>1000</v>
      </c>
      <c r="F250" s="331">
        <f>D250*E250</f>
        <v>169000</v>
      </c>
    </row>
    <row r="251" spans="1:6" s="1" customFormat="1" ht="18.75" x14ac:dyDescent="0.25">
      <c r="A251" s="633">
        <v>478</v>
      </c>
      <c r="B251" s="330" t="s">
        <v>56</v>
      </c>
      <c r="C251" s="80" t="s">
        <v>195</v>
      </c>
      <c r="D251" s="607">
        <f>(6.5*6.5)*2*40%</f>
        <v>33.800000000000004</v>
      </c>
      <c r="E251" s="331">
        <v>2000</v>
      </c>
      <c r="F251" s="331">
        <f t="shared" ref="F251:F258" si="15">D251*E251</f>
        <v>67600.000000000015</v>
      </c>
    </row>
    <row r="252" spans="1:6" s="1" customFormat="1" ht="18.75" x14ac:dyDescent="0.25">
      <c r="A252" s="633">
        <v>479</v>
      </c>
      <c r="B252" s="330" t="s">
        <v>611</v>
      </c>
      <c r="C252" s="80" t="s">
        <v>195</v>
      </c>
      <c r="D252" s="607">
        <f>(6.5*6.5)*2*60%</f>
        <v>50.699999999999996</v>
      </c>
      <c r="E252" s="331">
        <v>2500</v>
      </c>
      <c r="F252" s="331">
        <f t="shared" si="15"/>
        <v>126749.99999999999</v>
      </c>
    </row>
    <row r="253" spans="1:6" s="1" customFormat="1" ht="47.25" x14ac:dyDescent="0.25">
      <c r="A253" s="633">
        <v>480</v>
      </c>
      <c r="B253" s="330" t="s">
        <v>612</v>
      </c>
      <c r="C253" s="80" t="s">
        <v>11</v>
      </c>
      <c r="D253" s="606">
        <v>24</v>
      </c>
      <c r="E253" s="331">
        <v>3000</v>
      </c>
      <c r="F253" s="331">
        <f t="shared" si="15"/>
        <v>72000</v>
      </c>
    </row>
    <row r="254" spans="1:6" s="1" customFormat="1" ht="18.75" x14ac:dyDescent="0.25">
      <c r="A254" s="633">
        <v>481</v>
      </c>
      <c r="B254" s="330" t="s">
        <v>57</v>
      </c>
      <c r="C254" s="80" t="s">
        <v>195</v>
      </c>
      <c r="D254" s="607">
        <f>(5.93*4)*0.3</f>
        <v>7.1159999999999997</v>
      </c>
      <c r="E254" s="331">
        <v>12000</v>
      </c>
      <c r="F254" s="331">
        <f t="shared" si="15"/>
        <v>85392</v>
      </c>
    </row>
    <row r="255" spans="1:6" s="1" customFormat="1" ht="31.5" x14ac:dyDescent="0.25">
      <c r="A255" s="633">
        <v>482</v>
      </c>
      <c r="B255" s="330" t="s">
        <v>58</v>
      </c>
      <c r="C255" s="80" t="s">
        <v>194</v>
      </c>
      <c r="D255" s="607">
        <f>5.5*2*0.2</f>
        <v>2.2000000000000002</v>
      </c>
      <c r="E255" s="331">
        <v>50000</v>
      </c>
      <c r="F255" s="331">
        <f t="shared" si="15"/>
        <v>110000.00000000001</v>
      </c>
    </row>
    <row r="256" spans="1:6" s="1" customFormat="1" ht="18.75" x14ac:dyDescent="0.25">
      <c r="A256" s="633">
        <v>483</v>
      </c>
      <c r="B256" s="330" t="s">
        <v>59</v>
      </c>
      <c r="C256" s="80" t="s">
        <v>195</v>
      </c>
      <c r="D256" s="607">
        <f>(5.18+2.5)*0.3*1*4</f>
        <v>9.2159999999999993</v>
      </c>
      <c r="E256" s="331">
        <v>5000</v>
      </c>
      <c r="F256" s="331">
        <f t="shared" si="15"/>
        <v>46080</v>
      </c>
    </row>
    <row r="257" spans="1:6" s="1" customFormat="1" ht="18.75" x14ac:dyDescent="0.25">
      <c r="A257" s="633">
        <v>484</v>
      </c>
      <c r="B257" s="330" t="s">
        <v>60</v>
      </c>
      <c r="C257" s="80" t="s">
        <v>195</v>
      </c>
      <c r="D257" s="607">
        <f>5.5*5*0.15</f>
        <v>4.125</v>
      </c>
      <c r="E257" s="331">
        <v>50000</v>
      </c>
      <c r="F257" s="331">
        <f t="shared" si="15"/>
        <v>206250</v>
      </c>
    </row>
    <row r="258" spans="1:6" s="1" customFormat="1" ht="31.5" x14ac:dyDescent="0.25">
      <c r="A258" s="633">
        <v>485</v>
      </c>
      <c r="B258" s="330" t="s">
        <v>61</v>
      </c>
      <c r="C258" s="80" t="s">
        <v>195</v>
      </c>
      <c r="D258" s="607">
        <f>D250+D251+D252-D254-D256-D257</f>
        <v>233.04300000000001</v>
      </c>
      <c r="E258" s="331">
        <v>1500</v>
      </c>
      <c r="F258" s="331">
        <f t="shared" si="15"/>
        <v>349564.5</v>
      </c>
    </row>
    <row r="259" spans="1:6" s="1" customFormat="1" ht="31.5" x14ac:dyDescent="0.25">
      <c r="A259" s="633">
        <v>486</v>
      </c>
      <c r="B259" s="330" t="s">
        <v>62</v>
      </c>
      <c r="C259" s="80" t="s">
        <v>195</v>
      </c>
      <c r="D259" s="607">
        <f>13*4*0.8*0.5</f>
        <v>20.8</v>
      </c>
      <c r="E259" s="331">
        <v>1500</v>
      </c>
      <c r="F259" s="331">
        <f>D259*E259</f>
        <v>31200</v>
      </c>
    </row>
    <row r="260" spans="1:6" s="1" customFormat="1" ht="31.5" x14ac:dyDescent="0.25">
      <c r="A260" s="633">
        <v>488</v>
      </c>
      <c r="B260" s="330" t="s">
        <v>63</v>
      </c>
      <c r="C260" s="80" t="s">
        <v>11</v>
      </c>
      <c r="D260" s="607">
        <f>13*4</f>
        <v>52</v>
      </c>
      <c r="E260" s="331">
        <v>600</v>
      </c>
      <c r="F260" s="331">
        <f>D260*E260</f>
        <v>31200</v>
      </c>
    </row>
    <row r="261" spans="1:6" s="1" customFormat="1" ht="18.75" x14ac:dyDescent="0.25">
      <c r="A261" s="633">
        <v>489</v>
      </c>
      <c r="B261" s="330" t="s">
        <v>64</v>
      </c>
      <c r="C261" s="80" t="s">
        <v>194</v>
      </c>
      <c r="D261" s="607">
        <f>D250</f>
        <v>169</v>
      </c>
      <c r="E261" s="331">
        <v>500</v>
      </c>
      <c r="F261" s="331">
        <f t="shared" ref="F261" si="16">D261*E261</f>
        <v>84500</v>
      </c>
    </row>
    <row r="262" spans="1:6" s="1" customFormat="1" ht="15.75" x14ac:dyDescent="0.25">
      <c r="A262" s="698"/>
      <c r="B262" s="699" t="s">
        <v>1065</v>
      </c>
      <c r="C262" s="700"/>
      <c r="D262" s="701"/>
      <c r="E262" s="702"/>
      <c r="F262" s="703">
        <f>SUM(F250:F261)</f>
        <v>1379536.5</v>
      </c>
    </row>
    <row r="263" spans="1:6" s="323" customFormat="1" ht="15.75" x14ac:dyDescent="0.25">
      <c r="A263" s="704"/>
      <c r="B263" s="705" t="s">
        <v>1066</v>
      </c>
      <c r="C263" s="706"/>
      <c r="D263" s="707">
        <v>1</v>
      </c>
      <c r="E263" s="708"/>
      <c r="F263" s="709">
        <f>F262*D263</f>
        <v>1379536.5</v>
      </c>
    </row>
    <row r="264" spans="1:6" s="323" customFormat="1" ht="15.75" x14ac:dyDescent="0.25">
      <c r="A264" s="324"/>
      <c r="B264" s="325"/>
      <c r="C264" s="326"/>
      <c r="D264" s="327"/>
      <c r="E264" s="328"/>
      <c r="F264" s="329"/>
    </row>
    <row r="265" spans="1:6" s="1" customFormat="1" ht="15.75" x14ac:dyDescent="0.25">
      <c r="A265" s="692"/>
      <c r="B265" s="693" t="s">
        <v>1069</v>
      </c>
      <c r="C265" s="694"/>
      <c r="D265" s="695"/>
      <c r="E265" s="696"/>
      <c r="F265" s="697"/>
    </row>
    <row r="266" spans="1:6" s="1" customFormat="1" ht="18.75" x14ac:dyDescent="0.25">
      <c r="A266" s="633">
        <v>464</v>
      </c>
      <c r="B266" s="330" t="s">
        <v>55</v>
      </c>
      <c r="C266" s="80" t="s">
        <v>194</v>
      </c>
      <c r="D266" s="607">
        <f>10*12.1</f>
        <v>121</v>
      </c>
      <c r="E266" s="331">
        <v>1000</v>
      </c>
      <c r="F266" s="331">
        <f t="shared" ref="F266:F277" si="17">+D266*E266</f>
        <v>121000</v>
      </c>
    </row>
    <row r="267" spans="1:6" s="1" customFormat="1" ht="18.75" x14ac:dyDescent="0.25">
      <c r="A267" s="633">
        <v>465</v>
      </c>
      <c r="B267" s="330" t="s">
        <v>56</v>
      </c>
      <c r="C267" s="80" t="s">
        <v>195</v>
      </c>
      <c r="D267" s="607">
        <f>(5.5*6.5)*4*60%</f>
        <v>85.8</v>
      </c>
      <c r="E267" s="331">
        <v>2000</v>
      </c>
      <c r="F267" s="331">
        <f t="shared" si="17"/>
        <v>171600</v>
      </c>
    </row>
    <row r="268" spans="1:6" s="1" customFormat="1" ht="18.75" x14ac:dyDescent="0.25">
      <c r="A268" s="633">
        <v>466</v>
      </c>
      <c r="B268" s="330" t="s">
        <v>611</v>
      </c>
      <c r="C268" s="80" t="s">
        <v>195</v>
      </c>
      <c r="D268" s="607">
        <f>(6.5*6.5)*2*40%</f>
        <v>33.800000000000004</v>
      </c>
      <c r="E268" s="331">
        <v>2500</v>
      </c>
      <c r="F268" s="331">
        <f t="shared" si="17"/>
        <v>84500.000000000015</v>
      </c>
    </row>
    <row r="269" spans="1:6" s="1" customFormat="1" ht="47.25" x14ac:dyDescent="0.25">
      <c r="A269" s="633">
        <v>467</v>
      </c>
      <c r="B269" s="330" t="s">
        <v>612</v>
      </c>
      <c r="C269" s="80" t="s">
        <v>11</v>
      </c>
      <c r="D269" s="606">
        <v>12</v>
      </c>
      <c r="E269" s="331">
        <v>3000</v>
      </c>
      <c r="F269" s="331">
        <f t="shared" si="17"/>
        <v>36000</v>
      </c>
    </row>
    <row r="270" spans="1:6" s="1" customFormat="1" ht="18.75" x14ac:dyDescent="0.25">
      <c r="A270" s="633">
        <v>468</v>
      </c>
      <c r="B270" s="330" t="s">
        <v>57</v>
      </c>
      <c r="C270" s="80" t="s">
        <v>195</v>
      </c>
      <c r="D270" s="607">
        <f>(3.93*4)*0.6</f>
        <v>9.4320000000000004</v>
      </c>
      <c r="E270" s="331">
        <v>12000</v>
      </c>
      <c r="F270" s="331">
        <f t="shared" si="17"/>
        <v>113184</v>
      </c>
    </row>
    <row r="271" spans="1:6" s="1" customFormat="1" ht="31.5" x14ac:dyDescent="0.25">
      <c r="A271" s="633">
        <v>469</v>
      </c>
      <c r="B271" s="330" t="s">
        <v>58</v>
      </c>
      <c r="C271" s="80" t="s">
        <v>194</v>
      </c>
      <c r="D271" s="607">
        <f>2.5*2*3</f>
        <v>15</v>
      </c>
      <c r="E271" s="331">
        <v>50000</v>
      </c>
      <c r="F271" s="331">
        <f t="shared" si="17"/>
        <v>750000</v>
      </c>
    </row>
    <row r="272" spans="1:6" s="1" customFormat="1" ht="18.75" x14ac:dyDescent="0.25">
      <c r="A272" s="633">
        <v>470</v>
      </c>
      <c r="B272" s="330" t="s">
        <v>59</v>
      </c>
      <c r="C272" s="80" t="s">
        <v>195</v>
      </c>
      <c r="D272" s="607">
        <f>(3.18+2.5)*0.3*1*2</f>
        <v>3.4079999999999999</v>
      </c>
      <c r="E272" s="331">
        <v>5000</v>
      </c>
      <c r="F272" s="331">
        <f t="shared" si="17"/>
        <v>17040</v>
      </c>
    </row>
    <row r="273" spans="1:6" s="1" customFormat="1" ht="18.75" x14ac:dyDescent="0.25">
      <c r="A273" s="633">
        <v>471</v>
      </c>
      <c r="B273" s="330" t="s">
        <v>60</v>
      </c>
      <c r="C273" s="80" t="s">
        <v>195</v>
      </c>
      <c r="D273" s="607">
        <f>4.5*6*0.15</f>
        <v>4.05</v>
      </c>
      <c r="E273" s="331">
        <v>50000</v>
      </c>
      <c r="F273" s="331">
        <f t="shared" si="17"/>
        <v>202500</v>
      </c>
    </row>
    <row r="274" spans="1:6" s="1" customFormat="1" ht="31.5" x14ac:dyDescent="0.25">
      <c r="A274" s="633">
        <v>472</v>
      </c>
      <c r="B274" s="330" t="s">
        <v>61</v>
      </c>
      <c r="C274" s="80" t="s">
        <v>195</v>
      </c>
      <c r="D274" s="607">
        <f>D267+D268-D270-D272-D273</f>
        <v>102.71</v>
      </c>
      <c r="E274" s="331">
        <v>1500</v>
      </c>
      <c r="F274" s="331">
        <f t="shared" si="17"/>
        <v>154065</v>
      </c>
    </row>
    <row r="275" spans="1:6" s="1" customFormat="1" ht="31.5" x14ac:dyDescent="0.25">
      <c r="A275" s="633">
        <v>473</v>
      </c>
      <c r="B275" s="330" t="s">
        <v>62</v>
      </c>
      <c r="C275" s="80" t="s">
        <v>195</v>
      </c>
      <c r="D275" s="607">
        <f>8*4*0.8*0.5</f>
        <v>12.8</v>
      </c>
      <c r="E275" s="331">
        <v>1500</v>
      </c>
      <c r="F275" s="331">
        <f t="shared" si="17"/>
        <v>19200</v>
      </c>
    </row>
    <row r="276" spans="1:6" s="1" customFormat="1" ht="31.5" x14ac:dyDescent="0.25">
      <c r="A276" s="633">
        <v>475</v>
      </c>
      <c r="B276" s="330" t="s">
        <v>63</v>
      </c>
      <c r="C276" s="80" t="s">
        <v>11</v>
      </c>
      <c r="D276" s="607">
        <f>10*4</f>
        <v>40</v>
      </c>
      <c r="E276" s="331">
        <v>600</v>
      </c>
      <c r="F276" s="331">
        <f t="shared" si="17"/>
        <v>24000</v>
      </c>
    </row>
    <row r="277" spans="1:6" s="1" customFormat="1" ht="18.75" x14ac:dyDescent="0.25">
      <c r="A277" s="633">
        <v>476</v>
      </c>
      <c r="B277" s="330" t="s">
        <v>64</v>
      </c>
      <c r="C277" s="80" t="s">
        <v>194</v>
      </c>
      <c r="D277" s="607">
        <f>D266</f>
        <v>121</v>
      </c>
      <c r="E277" s="331">
        <v>500</v>
      </c>
      <c r="F277" s="331">
        <f t="shared" si="17"/>
        <v>60500</v>
      </c>
    </row>
    <row r="278" spans="1:6" s="1" customFormat="1" ht="15.75" x14ac:dyDescent="0.25">
      <c r="A278" s="698"/>
      <c r="B278" s="699" t="s">
        <v>1065</v>
      </c>
      <c r="C278" s="700"/>
      <c r="D278" s="701"/>
      <c r="E278" s="702"/>
      <c r="F278" s="703">
        <f>SUM(F266:F277)</f>
        <v>1753589</v>
      </c>
    </row>
    <row r="279" spans="1:6" s="323" customFormat="1" ht="15.75" x14ac:dyDescent="0.25">
      <c r="A279" s="704"/>
      <c r="B279" s="705" t="s">
        <v>1070</v>
      </c>
      <c r="C279" s="706"/>
      <c r="D279" s="707">
        <v>2</v>
      </c>
      <c r="E279" s="708"/>
      <c r="F279" s="709">
        <f>F278*D279</f>
        <v>3507178</v>
      </c>
    </row>
    <row r="280" spans="1:6" s="323" customFormat="1" ht="15.75" x14ac:dyDescent="0.25">
      <c r="A280" s="704"/>
      <c r="B280" s="705"/>
      <c r="C280" s="706"/>
      <c r="D280" s="707"/>
      <c r="E280" s="708"/>
      <c r="F280" s="709"/>
    </row>
    <row r="281" spans="1:6" s="1" customFormat="1" ht="15.75" x14ac:dyDescent="0.25">
      <c r="A281" s="692"/>
      <c r="B281" s="693" t="s">
        <v>1071</v>
      </c>
      <c r="C281" s="694"/>
      <c r="D281" s="695"/>
      <c r="E281" s="696"/>
      <c r="F281" s="697"/>
    </row>
    <row r="282" spans="1:6" s="1" customFormat="1" ht="18.75" x14ac:dyDescent="0.25">
      <c r="A282" s="633">
        <v>464</v>
      </c>
      <c r="B282" s="330" t="s">
        <v>55</v>
      </c>
      <c r="C282" s="80" t="s">
        <v>194</v>
      </c>
      <c r="D282" s="607">
        <f>12*12</f>
        <v>144</v>
      </c>
      <c r="E282" s="331">
        <v>1000</v>
      </c>
      <c r="F282" s="331">
        <f>+D282*E282</f>
        <v>144000</v>
      </c>
    </row>
    <row r="283" spans="1:6" s="1" customFormat="1" ht="18.75" x14ac:dyDescent="0.25">
      <c r="A283" s="633">
        <v>465</v>
      </c>
      <c r="B283" s="330" t="s">
        <v>56</v>
      </c>
      <c r="C283" s="80" t="s">
        <v>195</v>
      </c>
      <c r="D283" s="607">
        <f>(10.5*10.5)*2*40%</f>
        <v>88.2</v>
      </c>
      <c r="E283" s="331">
        <v>2000</v>
      </c>
      <c r="F283" s="331">
        <f t="shared" ref="F283:F293" si="18">+D283*E283</f>
        <v>176400</v>
      </c>
    </row>
    <row r="284" spans="1:6" s="1" customFormat="1" ht="18.75" x14ac:dyDescent="0.25">
      <c r="A284" s="633">
        <v>466</v>
      </c>
      <c r="B284" s="330" t="s">
        <v>611</v>
      </c>
      <c r="C284" s="80" t="s">
        <v>195</v>
      </c>
      <c r="D284" s="607">
        <f>(10.5*10.5)*2*60%</f>
        <v>132.29999999999998</v>
      </c>
      <c r="E284" s="331">
        <v>2500</v>
      </c>
      <c r="F284" s="331">
        <f t="shared" si="18"/>
        <v>330749.99999999994</v>
      </c>
    </row>
    <row r="285" spans="1:6" s="1" customFormat="1" ht="47.25" x14ac:dyDescent="0.25">
      <c r="A285" s="633">
        <v>467</v>
      </c>
      <c r="B285" s="330" t="s">
        <v>612</v>
      </c>
      <c r="C285" s="80" t="s">
        <v>11</v>
      </c>
      <c r="D285" s="606">
        <v>18</v>
      </c>
      <c r="E285" s="331">
        <v>3000</v>
      </c>
      <c r="F285" s="331">
        <f t="shared" si="18"/>
        <v>54000</v>
      </c>
    </row>
    <row r="286" spans="1:6" s="1" customFormat="1" ht="18.75" x14ac:dyDescent="0.25">
      <c r="A286" s="633">
        <v>468</v>
      </c>
      <c r="B286" s="330" t="s">
        <v>57</v>
      </c>
      <c r="C286" s="80" t="s">
        <v>195</v>
      </c>
      <c r="D286" s="607">
        <f>(2.53*8)*0.3</f>
        <v>6.0719999999999992</v>
      </c>
      <c r="E286" s="331">
        <v>12000</v>
      </c>
      <c r="F286" s="331">
        <f t="shared" si="18"/>
        <v>72863.999999999985</v>
      </c>
    </row>
    <row r="287" spans="1:6" s="1" customFormat="1" ht="31.5" x14ac:dyDescent="0.25">
      <c r="A287" s="633">
        <v>469</v>
      </c>
      <c r="B287" s="330" t="s">
        <v>58</v>
      </c>
      <c r="C287" s="80" t="s">
        <v>194</v>
      </c>
      <c r="D287" s="607">
        <f>7.5*3*0.2</f>
        <v>4.5</v>
      </c>
      <c r="E287" s="331">
        <v>50000</v>
      </c>
      <c r="F287" s="331">
        <f t="shared" si="18"/>
        <v>225000</v>
      </c>
    </row>
    <row r="288" spans="1:6" s="1" customFormat="1" ht="18.75" x14ac:dyDescent="0.25">
      <c r="A288" s="633">
        <v>470</v>
      </c>
      <c r="B288" s="330" t="s">
        <v>59</v>
      </c>
      <c r="C288" s="80" t="s">
        <v>195</v>
      </c>
      <c r="D288" s="607">
        <f>(3.18+2.5)*0.3*1*4</f>
        <v>6.8159999999999998</v>
      </c>
      <c r="E288" s="331">
        <v>5000</v>
      </c>
      <c r="F288" s="331">
        <f t="shared" si="18"/>
        <v>34080</v>
      </c>
    </row>
    <row r="289" spans="1:6" s="1" customFormat="1" ht="18.75" x14ac:dyDescent="0.25">
      <c r="A289" s="633">
        <v>471</v>
      </c>
      <c r="B289" s="330" t="s">
        <v>60</v>
      </c>
      <c r="C289" s="80" t="s">
        <v>195</v>
      </c>
      <c r="D289" s="607">
        <f>5.5*6*0.15</f>
        <v>4.95</v>
      </c>
      <c r="E289" s="331">
        <v>50000</v>
      </c>
      <c r="F289" s="331">
        <f t="shared" si="18"/>
        <v>247500</v>
      </c>
    </row>
    <row r="290" spans="1:6" s="1" customFormat="1" ht="31.5" x14ac:dyDescent="0.25">
      <c r="A290" s="633">
        <v>472</v>
      </c>
      <c r="B290" s="330" t="s">
        <v>61</v>
      </c>
      <c r="C290" s="80" t="s">
        <v>195</v>
      </c>
      <c r="D290" s="607">
        <f>D282+D283+D284-D286-D288-D289</f>
        <v>346.66200000000003</v>
      </c>
      <c r="E290" s="331">
        <v>1500</v>
      </c>
      <c r="F290" s="331">
        <f t="shared" si="18"/>
        <v>519993.00000000006</v>
      </c>
    </row>
    <row r="291" spans="1:6" s="1" customFormat="1" ht="31.5" x14ac:dyDescent="0.25">
      <c r="A291" s="633">
        <v>473</v>
      </c>
      <c r="B291" s="330" t="s">
        <v>62</v>
      </c>
      <c r="C291" s="80" t="s">
        <v>195</v>
      </c>
      <c r="D291" s="607">
        <f>12*4*0.8*0.5</f>
        <v>19.200000000000003</v>
      </c>
      <c r="E291" s="331">
        <v>1500</v>
      </c>
      <c r="F291" s="331">
        <f t="shared" si="18"/>
        <v>28800.000000000004</v>
      </c>
    </row>
    <row r="292" spans="1:6" s="1" customFormat="1" ht="31.5" x14ac:dyDescent="0.25">
      <c r="A292" s="633">
        <v>475</v>
      </c>
      <c r="B292" s="330" t="s">
        <v>63</v>
      </c>
      <c r="C292" s="80" t="s">
        <v>11</v>
      </c>
      <c r="D292" s="607">
        <f>12*4</f>
        <v>48</v>
      </c>
      <c r="E292" s="331">
        <v>600</v>
      </c>
      <c r="F292" s="331">
        <f t="shared" si="18"/>
        <v>28800</v>
      </c>
    </row>
    <row r="293" spans="1:6" s="1" customFormat="1" ht="18.75" x14ac:dyDescent="0.25">
      <c r="A293" s="633">
        <v>476</v>
      </c>
      <c r="B293" s="330" t="s">
        <v>64</v>
      </c>
      <c r="C293" s="80" t="s">
        <v>194</v>
      </c>
      <c r="D293" s="607">
        <f>D282</f>
        <v>144</v>
      </c>
      <c r="E293" s="331">
        <v>500</v>
      </c>
      <c r="F293" s="331">
        <f t="shared" si="18"/>
        <v>72000</v>
      </c>
    </row>
    <row r="294" spans="1:6" s="1" customFormat="1" ht="15.75" x14ac:dyDescent="0.25">
      <c r="A294" s="698"/>
      <c r="B294" s="699" t="s">
        <v>1065</v>
      </c>
      <c r="C294" s="700"/>
      <c r="D294" s="701"/>
      <c r="E294" s="702"/>
      <c r="F294" s="703">
        <f>SUM(F282:F293)</f>
        <v>1934187</v>
      </c>
    </row>
    <row r="295" spans="1:6" s="323" customFormat="1" ht="15.75" x14ac:dyDescent="0.25">
      <c r="A295" s="704"/>
      <c r="B295" s="705" t="s">
        <v>1072</v>
      </c>
      <c r="C295" s="706"/>
      <c r="D295" s="707"/>
      <c r="E295" s="708"/>
      <c r="F295" s="709">
        <f>F294</f>
        <v>1934187</v>
      </c>
    </row>
    <row r="296" spans="1:6" s="323" customFormat="1" ht="15.75" x14ac:dyDescent="0.25">
      <c r="A296" s="324"/>
      <c r="B296" s="325"/>
      <c r="C296" s="326"/>
      <c r="D296" s="327"/>
      <c r="E296" s="328"/>
      <c r="F296" s="331"/>
    </row>
    <row r="297" spans="1:6" s="1" customFormat="1" ht="15.75" x14ac:dyDescent="0.25">
      <c r="A297" s="692"/>
      <c r="B297" s="693" t="s">
        <v>1073</v>
      </c>
      <c r="C297" s="694"/>
      <c r="D297" s="695"/>
      <c r="E297" s="696"/>
      <c r="F297" s="697"/>
    </row>
    <row r="298" spans="1:6" s="1" customFormat="1" ht="18.75" x14ac:dyDescent="0.25">
      <c r="A298" s="633">
        <v>464</v>
      </c>
      <c r="B298" s="330" t="s">
        <v>55</v>
      </c>
      <c r="C298" s="80" t="s">
        <v>194</v>
      </c>
      <c r="D298" s="607">
        <f>11*11</f>
        <v>121</v>
      </c>
      <c r="E298" s="331">
        <v>1000</v>
      </c>
      <c r="F298" s="331">
        <f t="shared" ref="F298:F309" si="19">+D298*E298</f>
        <v>121000</v>
      </c>
    </row>
    <row r="299" spans="1:6" s="1" customFormat="1" ht="18.75" x14ac:dyDescent="0.25">
      <c r="A299" s="633">
        <v>465</v>
      </c>
      <c r="B299" s="330" t="s">
        <v>56</v>
      </c>
      <c r="C299" s="80" t="s">
        <v>195</v>
      </c>
      <c r="D299" s="607">
        <f>(5.5*6.5)*4*60%</f>
        <v>85.8</v>
      </c>
      <c r="E299" s="331">
        <v>2000</v>
      </c>
      <c r="F299" s="331">
        <f t="shared" si="19"/>
        <v>171600</v>
      </c>
    </row>
    <row r="300" spans="1:6" s="1" customFormat="1" ht="18.75" x14ac:dyDescent="0.25">
      <c r="A300" s="633">
        <v>466</v>
      </c>
      <c r="B300" s="330" t="s">
        <v>611</v>
      </c>
      <c r="C300" s="80" t="s">
        <v>195</v>
      </c>
      <c r="D300" s="607">
        <f>(6.5*6.5)*2*40%</f>
        <v>33.800000000000004</v>
      </c>
      <c r="E300" s="331">
        <v>2500</v>
      </c>
      <c r="F300" s="331">
        <f t="shared" si="19"/>
        <v>84500.000000000015</v>
      </c>
    </row>
    <row r="301" spans="1:6" s="1" customFormat="1" ht="47.25" x14ac:dyDescent="0.25">
      <c r="A301" s="633">
        <v>467</v>
      </c>
      <c r="B301" s="330" t="s">
        <v>612</v>
      </c>
      <c r="C301" s="80" t="s">
        <v>11</v>
      </c>
      <c r="D301" s="606">
        <v>12</v>
      </c>
      <c r="E301" s="331">
        <v>3000</v>
      </c>
      <c r="F301" s="331">
        <f t="shared" si="19"/>
        <v>36000</v>
      </c>
    </row>
    <row r="302" spans="1:6" s="1" customFormat="1" ht="18.75" x14ac:dyDescent="0.25">
      <c r="A302" s="633">
        <v>468</v>
      </c>
      <c r="B302" s="330" t="s">
        <v>57</v>
      </c>
      <c r="C302" s="80" t="s">
        <v>195</v>
      </c>
      <c r="D302" s="607">
        <f>(1.93*4)*0.6</f>
        <v>4.6319999999999997</v>
      </c>
      <c r="E302" s="331">
        <v>12000</v>
      </c>
      <c r="F302" s="331">
        <f t="shared" si="19"/>
        <v>55583.999999999993</v>
      </c>
    </row>
    <row r="303" spans="1:6" s="1" customFormat="1" ht="31.5" x14ac:dyDescent="0.25">
      <c r="A303" s="633">
        <v>469</v>
      </c>
      <c r="B303" s="330" t="s">
        <v>58</v>
      </c>
      <c r="C303" s="80" t="s">
        <v>194</v>
      </c>
      <c r="D303" s="607">
        <f>3.5*2*3</f>
        <v>21</v>
      </c>
      <c r="E303" s="331">
        <v>50000</v>
      </c>
      <c r="F303" s="331">
        <f t="shared" si="19"/>
        <v>1050000</v>
      </c>
    </row>
    <row r="304" spans="1:6" s="1" customFormat="1" ht="18.75" x14ac:dyDescent="0.25">
      <c r="A304" s="633">
        <v>470</v>
      </c>
      <c r="B304" s="330" t="s">
        <v>59</v>
      </c>
      <c r="C304" s="80" t="s">
        <v>195</v>
      </c>
      <c r="D304" s="607">
        <f>(3.18+2.5)*0.3*1*2</f>
        <v>3.4079999999999999</v>
      </c>
      <c r="E304" s="331">
        <v>5000</v>
      </c>
      <c r="F304" s="331">
        <f t="shared" si="19"/>
        <v>17040</v>
      </c>
    </row>
    <row r="305" spans="1:6" s="1" customFormat="1" ht="18.75" x14ac:dyDescent="0.25">
      <c r="A305" s="633">
        <v>471</v>
      </c>
      <c r="B305" s="330" t="s">
        <v>60</v>
      </c>
      <c r="C305" s="80" t="s">
        <v>195</v>
      </c>
      <c r="D305" s="607">
        <f>6.5*6*0.15</f>
        <v>5.85</v>
      </c>
      <c r="E305" s="331">
        <v>50000</v>
      </c>
      <c r="F305" s="331">
        <f t="shared" si="19"/>
        <v>292500</v>
      </c>
    </row>
    <row r="306" spans="1:6" s="1" customFormat="1" ht="31.5" x14ac:dyDescent="0.25">
      <c r="A306" s="633">
        <v>472</v>
      </c>
      <c r="B306" s="330" t="s">
        <v>61</v>
      </c>
      <c r="C306" s="80" t="s">
        <v>195</v>
      </c>
      <c r="D306" s="607">
        <f>D299+D300-D302-D304-D305</f>
        <v>105.71</v>
      </c>
      <c r="E306" s="331">
        <v>1500</v>
      </c>
      <c r="F306" s="331">
        <f t="shared" si="19"/>
        <v>158565</v>
      </c>
    </row>
    <row r="307" spans="1:6" s="1" customFormat="1" ht="31.5" x14ac:dyDescent="0.25">
      <c r="A307" s="633">
        <v>473</v>
      </c>
      <c r="B307" s="330" t="s">
        <v>62</v>
      </c>
      <c r="C307" s="80" t="s">
        <v>195</v>
      </c>
      <c r="D307" s="607">
        <f>12*4*0.8*0.4</f>
        <v>15.360000000000003</v>
      </c>
      <c r="E307" s="331">
        <v>1500</v>
      </c>
      <c r="F307" s="331">
        <f t="shared" si="19"/>
        <v>23040.000000000004</v>
      </c>
    </row>
    <row r="308" spans="1:6" s="1" customFormat="1" ht="31.5" x14ac:dyDescent="0.25">
      <c r="A308" s="633">
        <v>475</v>
      </c>
      <c r="B308" s="330" t="s">
        <v>63</v>
      </c>
      <c r="C308" s="80" t="s">
        <v>11</v>
      </c>
      <c r="D308" s="607">
        <f>12*4</f>
        <v>48</v>
      </c>
      <c r="E308" s="331">
        <v>600</v>
      </c>
      <c r="F308" s="331">
        <f t="shared" si="19"/>
        <v>28800</v>
      </c>
    </row>
    <row r="309" spans="1:6" s="1" customFormat="1" ht="18.75" x14ac:dyDescent="0.25">
      <c r="A309" s="633">
        <v>476</v>
      </c>
      <c r="B309" s="330" t="s">
        <v>64</v>
      </c>
      <c r="C309" s="80" t="s">
        <v>194</v>
      </c>
      <c r="D309" s="607">
        <f>D298</f>
        <v>121</v>
      </c>
      <c r="E309" s="331">
        <v>500</v>
      </c>
      <c r="F309" s="331">
        <f t="shared" si="19"/>
        <v>60500</v>
      </c>
    </row>
    <row r="310" spans="1:6" s="1" customFormat="1" ht="15.75" x14ac:dyDescent="0.25">
      <c r="A310" s="698"/>
      <c r="B310" s="699" t="s">
        <v>1065</v>
      </c>
      <c r="C310" s="700"/>
      <c r="D310" s="701"/>
      <c r="E310" s="702"/>
      <c r="F310" s="703">
        <f>SUM(F298:F309)</f>
        <v>2099129</v>
      </c>
    </row>
    <row r="311" spans="1:6" s="323" customFormat="1" ht="15.75" x14ac:dyDescent="0.25">
      <c r="A311" s="704"/>
      <c r="B311" s="705" t="s">
        <v>1072</v>
      </c>
      <c r="C311" s="706"/>
      <c r="D311" s="707">
        <v>1</v>
      </c>
      <c r="E311" s="708"/>
      <c r="F311" s="709">
        <f>F310*D311</f>
        <v>2099129</v>
      </c>
    </row>
    <row r="312" spans="1:6" s="323" customFormat="1" ht="15.75" x14ac:dyDescent="0.25">
      <c r="A312" s="324"/>
      <c r="B312" s="325"/>
      <c r="C312" s="326"/>
      <c r="D312" s="327"/>
      <c r="E312" s="328"/>
      <c r="F312" s="329"/>
    </row>
    <row r="313" spans="1:6" s="572" customFormat="1" x14ac:dyDescent="0.25">
      <c r="A313" s="662"/>
      <c r="B313" s="663" t="s">
        <v>131</v>
      </c>
      <c r="C313" s="664"/>
      <c r="D313" s="665"/>
      <c r="E313" s="666"/>
      <c r="F313" s="667"/>
    </row>
    <row r="314" spans="1:6" s="572" customFormat="1" x14ac:dyDescent="0.25">
      <c r="A314" s="668"/>
      <c r="B314" s="669"/>
      <c r="C314" s="670"/>
      <c r="D314" s="671"/>
      <c r="E314" s="672"/>
      <c r="F314" s="592"/>
    </row>
    <row r="315" spans="1:6" s="323" customFormat="1" ht="15.75" x14ac:dyDescent="0.25">
      <c r="A315" s="324"/>
      <c r="B315" s="325"/>
      <c r="C315" s="326"/>
      <c r="D315" s="327"/>
      <c r="E315" s="328"/>
      <c r="F315" s="329"/>
    </row>
    <row r="316" spans="1:6" s="1" customFormat="1" ht="15.75" x14ac:dyDescent="0.25">
      <c r="A316" s="710">
        <v>4.0999999999999996</v>
      </c>
      <c r="B316" s="325" t="s">
        <v>1074</v>
      </c>
      <c r="C316" s="711"/>
      <c r="D316" s="712"/>
      <c r="E316" s="713"/>
      <c r="F316" s="329"/>
    </row>
    <row r="317" spans="1:6" s="1" customFormat="1" ht="18.75" x14ac:dyDescent="0.25">
      <c r="A317" s="633" t="s">
        <v>66</v>
      </c>
      <c r="B317" s="330" t="s">
        <v>55</v>
      </c>
      <c r="C317" s="80" t="s">
        <v>194</v>
      </c>
      <c r="D317" s="714">
        <f>15*15</f>
        <v>225</v>
      </c>
      <c r="E317" s="331">
        <v>1000</v>
      </c>
      <c r="F317" s="331">
        <f t="shared" ref="F317:F328" si="20">+D317*E317</f>
        <v>225000</v>
      </c>
    </row>
    <row r="318" spans="1:6" s="1" customFormat="1" ht="18.75" x14ac:dyDescent="0.25">
      <c r="A318" s="633" t="s">
        <v>104</v>
      </c>
      <c r="B318" s="330" t="s">
        <v>56</v>
      </c>
      <c r="C318" s="80" t="s">
        <v>195</v>
      </c>
      <c r="D318" s="714">
        <v>151.53333333333333</v>
      </c>
      <c r="E318" s="331">
        <v>2000</v>
      </c>
      <c r="F318" s="331">
        <f t="shared" si="20"/>
        <v>303066.66666666669</v>
      </c>
    </row>
    <row r="319" spans="1:6" s="1" customFormat="1" ht="18.75" x14ac:dyDescent="0.25">
      <c r="A319" s="633" t="s">
        <v>166</v>
      </c>
      <c r="B319" s="330" t="s">
        <v>611</v>
      </c>
      <c r="C319" s="80" t="s">
        <v>195</v>
      </c>
      <c r="D319" s="714">
        <v>80.510000000000005</v>
      </c>
      <c r="E319" s="331">
        <v>2500</v>
      </c>
      <c r="F319" s="331">
        <f t="shared" si="20"/>
        <v>201275</v>
      </c>
    </row>
    <row r="320" spans="1:6" s="1" customFormat="1" ht="47.25" x14ac:dyDescent="0.25">
      <c r="A320" s="633" t="s">
        <v>178</v>
      </c>
      <c r="B320" s="330" t="s">
        <v>612</v>
      </c>
      <c r="C320" s="80" t="s">
        <v>11</v>
      </c>
      <c r="D320" s="714">
        <v>21</v>
      </c>
      <c r="E320" s="331">
        <v>3000</v>
      </c>
      <c r="F320" s="331">
        <f t="shared" si="20"/>
        <v>63000</v>
      </c>
    </row>
    <row r="321" spans="1:6" s="1" customFormat="1" ht="18.75" x14ac:dyDescent="0.25">
      <c r="A321" s="633" t="s">
        <v>198</v>
      </c>
      <c r="B321" s="330" t="s">
        <v>57</v>
      </c>
      <c r="C321" s="80" t="s">
        <v>195</v>
      </c>
      <c r="D321" s="714">
        <v>8.3333333333333339</v>
      </c>
      <c r="E321" s="331">
        <v>12000</v>
      </c>
      <c r="F321" s="331">
        <f t="shared" si="20"/>
        <v>100000</v>
      </c>
    </row>
    <row r="322" spans="1:6" s="1" customFormat="1" ht="31.5" x14ac:dyDescent="0.25">
      <c r="A322" s="633" t="s">
        <v>1045</v>
      </c>
      <c r="B322" s="330" t="s">
        <v>58</v>
      </c>
      <c r="C322" s="80" t="s">
        <v>194</v>
      </c>
      <c r="D322" s="714">
        <v>21.333333333333332</v>
      </c>
      <c r="E322" s="331">
        <v>50000</v>
      </c>
      <c r="F322" s="331">
        <f t="shared" si="20"/>
        <v>1066666.6666666665</v>
      </c>
    </row>
    <row r="323" spans="1:6" s="1" customFormat="1" ht="18.75" x14ac:dyDescent="0.25">
      <c r="A323" s="633" t="s">
        <v>998</v>
      </c>
      <c r="B323" s="330" t="s">
        <v>59</v>
      </c>
      <c r="C323" s="80" t="s">
        <v>195</v>
      </c>
      <c r="D323" s="714">
        <v>3.8333333333333335</v>
      </c>
      <c r="E323" s="331">
        <v>5000</v>
      </c>
      <c r="F323" s="331">
        <f t="shared" si="20"/>
        <v>19166.666666666668</v>
      </c>
    </row>
    <row r="324" spans="1:6" s="1" customFormat="1" ht="18.75" x14ac:dyDescent="0.25">
      <c r="A324" s="633" t="s">
        <v>1075</v>
      </c>
      <c r="B324" s="330" t="s">
        <v>60</v>
      </c>
      <c r="C324" s="80" t="s">
        <v>195</v>
      </c>
      <c r="D324" s="714">
        <v>3.6233333333333331</v>
      </c>
      <c r="E324" s="331">
        <v>50000</v>
      </c>
      <c r="F324" s="331">
        <f t="shared" si="20"/>
        <v>181166.66666666666</v>
      </c>
    </row>
    <row r="325" spans="1:6" s="1" customFormat="1" ht="31.5" x14ac:dyDescent="0.25">
      <c r="A325" s="633" t="s">
        <v>1076</v>
      </c>
      <c r="B325" s="330" t="s">
        <v>61</v>
      </c>
      <c r="C325" s="80" t="s">
        <v>195</v>
      </c>
      <c r="D325" s="714">
        <v>232.04333333333332</v>
      </c>
      <c r="E325" s="331">
        <v>1500</v>
      </c>
      <c r="F325" s="331">
        <f t="shared" si="20"/>
        <v>348065</v>
      </c>
    </row>
    <row r="326" spans="1:6" s="1" customFormat="1" ht="31.5" x14ac:dyDescent="0.25">
      <c r="A326" s="633" t="s">
        <v>1077</v>
      </c>
      <c r="B326" s="330" t="s">
        <v>62</v>
      </c>
      <c r="C326" s="80" t="s">
        <v>195</v>
      </c>
      <c r="D326" s="714">
        <v>16</v>
      </c>
      <c r="E326" s="331">
        <v>1500</v>
      </c>
      <c r="F326" s="331">
        <f t="shared" si="20"/>
        <v>24000</v>
      </c>
    </row>
    <row r="327" spans="1:6" s="1" customFormat="1" ht="31.5" x14ac:dyDescent="0.25">
      <c r="A327" s="633" t="s">
        <v>1078</v>
      </c>
      <c r="B327" s="330" t="s">
        <v>63</v>
      </c>
      <c r="C327" s="80" t="s">
        <v>11</v>
      </c>
      <c r="D327" s="714">
        <v>32.666666666666664</v>
      </c>
      <c r="E327" s="331">
        <v>600</v>
      </c>
      <c r="F327" s="331">
        <f t="shared" si="20"/>
        <v>19600</v>
      </c>
    </row>
    <row r="328" spans="1:6" s="1" customFormat="1" ht="18.75" x14ac:dyDescent="0.25">
      <c r="A328" s="633" t="s">
        <v>1079</v>
      </c>
      <c r="B328" s="330" t="s">
        <v>64</v>
      </c>
      <c r="C328" s="80" t="s">
        <v>194</v>
      </c>
      <c r="D328" s="714">
        <f>D317</f>
        <v>225</v>
      </c>
      <c r="E328" s="331">
        <v>500</v>
      </c>
      <c r="F328" s="331">
        <f t="shared" si="20"/>
        <v>112500</v>
      </c>
    </row>
    <row r="329" spans="1:6" s="323" customFormat="1" ht="15.75" x14ac:dyDescent="0.25">
      <c r="A329" s="704"/>
      <c r="B329" s="705" t="s">
        <v>1065</v>
      </c>
      <c r="C329" s="706"/>
      <c r="D329" s="707"/>
      <c r="E329" s="708"/>
      <c r="F329" s="709">
        <f>SUM(F317:F328)</f>
        <v>2663506.6666666665</v>
      </c>
    </row>
    <row r="330" spans="1:6" s="323" customFormat="1" ht="15.75" x14ac:dyDescent="0.25">
      <c r="A330" s="704"/>
      <c r="B330" s="705" t="s">
        <v>1080</v>
      </c>
      <c r="C330" s="706"/>
      <c r="D330" s="707">
        <v>1</v>
      </c>
      <c r="E330" s="708"/>
      <c r="F330" s="709">
        <f>F329*D330</f>
        <v>2663506.6666666665</v>
      </c>
    </row>
    <row r="331" spans="1:6" s="323" customFormat="1" ht="15.75" x14ac:dyDescent="0.25">
      <c r="A331" s="324"/>
      <c r="B331" s="325"/>
      <c r="C331" s="326"/>
      <c r="D331" s="327"/>
      <c r="E331" s="328"/>
      <c r="F331" s="329"/>
    </row>
    <row r="332" spans="1:6" s="323" customFormat="1" ht="15.75" x14ac:dyDescent="0.25">
      <c r="A332" s="324"/>
      <c r="B332" s="325"/>
      <c r="C332" s="326"/>
      <c r="D332" s="327"/>
      <c r="E332" s="328"/>
      <c r="F332" s="329"/>
    </row>
  </sheetData>
  <mergeCells count="1">
    <mergeCell ref="B215:F2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C26" sqref="C26"/>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N86"/>
  <sheetViews>
    <sheetView zoomScale="90" zoomScaleNormal="90" workbookViewId="0">
      <selection activeCell="C26" sqref="C26"/>
    </sheetView>
  </sheetViews>
  <sheetFormatPr defaultRowHeight="15" x14ac:dyDescent="0.25"/>
  <cols>
    <col min="1" max="1" width="5" customWidth="1"/>
    <col min="2" max="2" width="7.28515625" customWidth="1"/>
    <col min="3" max="3" width="18.7109375" customWidth="1"/>
    <col min="4" max="4" width="26.7109375" bestFit="1" customWidth="1"/>
    <col min="5" max="5" width="26.85546875" bestFit="1" customWidth="1"/>
    <col min="6" max="6" width="15.85546875" customWidth="1"/>
    <col min="7" max="7" width="22.42578125" customWidth="1"/>
    <col min="8" max="8" width="7" bestFit="1" customWidth="1"/>
    <col min="12" max="12" width="37.42578125" hidden="1" customWidth="1"/>
    <col min="13" max="13" width="0" hidden="1" customWidth="1"/>
    <col min="14" max="14" width="7" hidden="1" customWidth="1"/>
  </cols>
  <sheetData>
    <row r="3" spans="3:14" ht="15.75" thickBot="1" x14ac:dyDescent="0.3"/>
    <row r="4" spans="3:14" ht="30.75" thickBot="1" x14ac:dyDescent="0.3">
      <c r="C4" s="514" t="s">
        <v>843</v>
      </c>
    </row>
    <row r="5" spans="3:14" ht="24.75" customHeight="1" x14ac:dyDescent="0.25">
      <c r="C5" s="513" t="s">
        <v>796</v>
      </c>
      <c r="D5" s="505" t="s">
        <v>794</v>
      </c>
      <c r="E5" s="505" t="s">
        <v>795</v>
      </c>
      <c r="F5" s="505" t="s">
        <v>350</v>
      </c>
      <c r="L5" s="506" t="s">
        <v>797</v>
      </c>
      <c r="M5" s="506"/>
      <c r="N5" s="508">
        <v>1679.9999999999998</v>
      </c>
    </row>
    <row r="6" spans="3:14" ht="24.75" customHeight="1" x14ac:dyDescent="0.25">
      <c r="C6" s="504">
        <v>4</v>
      </c>
      <c r="D6" s="26" t="s">
        <v>646</v>
      </c>
      <c r="E6" s="32" t="s">
        <v>495</v>
      </c>
      <c r="F6" s="322">
        <f>(C6*12)/2</f>
        <v>24</v>
      </c>
      <c r="L6" s="506" t="s">
        <v>798</v>
      </c>
      <c r="M6" s="506"/>
      <c r="N6" s="508">
        <v>2436</v>
      </c>
    </row>
    <row r="7" spans="3:14" ht="24.75" customHeight="1" x14ac:dyDescent="0.25">
      <c r="C7" s="504">
        <v>6</v>
      </c>
      <c r="D7" s="36" t="s">
        <v>644</v>
      </c>
      <c r="E7" s="32" t="s">
        <v>496</v>
      </c>
      <c r="F7" s="322">
        <f>(C7*12)/2</f>
        <v>36</v>
      </c>
      <c r="L7" s="506" t="s">
        <v>799</v>
      </c>
      <c r="M7" s="506"/>
      <c r="N7" s="508">
        <v>3200.4</v>
      </c>
    </row>
    <row r="8" spans="3:14" ht="24.75" customHeight="1" x14ac:dyDescent="0.25">
      <c r="C8" s="504"/>
      <c r="D8" s="26" t="s">
        <v>645</v>
      </c>
      <c r="E8" s="32" t="s">
        <v>497</v>
      </c>
      <c r="F8" s="322">
        <f t="shared" ref="F8:F15" si="0">(C8*12)/2</f>
        <v>0</v>
      </c>
      <c r="L8" s="506" t="s">
        <v>800</v>
      </c>
      <c r="M8" s="506"/>
      <c r="N8" s="508">
        <v>4480.5599999999995</v>
      </c>
    </row>
    <row r="9" spans="3:14" ht="24.75" customHeight="1" x14ac:dyDescent="0.25">
      <c r="C9" s="504"/>
      <c r="D9" s="32" t="s">
        <v>647</v>
      </c>
      <c r="E9" s="32" t="s">
        <v>502</v>
      </c>
      <c r="F9" s="322">
        <f t="shared" si="0"/>
        <v>0</v>
      </c>
      <c r="L9" s="506" t="s">
        <v>801</v>
      </c>
      <c r="M9" s="506"/>
      <c r="N9" s="508">
        <v>9429.84</v>
      </c>
    </row>
    <row r="10" spans="3:14" ht="24.75" customHeight="1" x14ac:dyDescent="0.25">
      <c r="C10" s="504"/>
      <c r="D10" s="26" t="s">
        <v>648</v>
      </c>
      <c r="E10" s="32" t="s">
        <v>135</v>
      </c>
      <c r="F10" s="322">
        <f t="shared" si="0"/>
        <v>0</v>
      </c>
      <c r="I10">
        <v>4</v>
      </c>
      <c r="L10" s="506" t="s">
        <v>802</v>
      </c>
      <c r="M10" s="506"/>
      <c r="N10" s="508">
        <v>11763.359999999997</v>
      </c>
    </row>
    <row r="11" spans="3:14" ht="24.75" customHeight="1" x14ac:dyDescent="0.25">
      <c r="C11" s="504"/>
      <c r="D11" s="26" t="s">
        <v>649</v>
      </c>
      <c r="E11" s="32" t="s">
        <v>501</v>
      </c>
      <c r="F11" s="322">
        <f t="shared" si="0"/>
        <v>0</v>
      </c>
      <c r="L11" s="506" t="s">
        <v>803</v>
      </c>
      <c r="M11" s="506"/>
      <c r="N11" s="508">
        <v>20543.04</v>
      </c>
    </row>
    <row r="12" spans="3:14" ht="24.75" customHeight="1" x14ac:dyDescent="0.25">
      <c r="C12" s="504"/>
      <c r="D12" s="26" t="s">
        <v>650</v>
      </c>
      <c r="E12" s="32" t="s">
        <v>500</v>
      </c>
      <c r="F12" s="322">
        <f t="shared" si="0"/>
        <v>0</v>
      </c>
      <c r="L12" s="506" t="s">
        <v>804</v>
      </c>
      <c r="M12" s="506"/>
      <c r="N12" s="508">
        <v>166200</v>
      </c>
    </row>
    <row r="13" spans="3:14" ht="24.75" customHeight="1" x14ac:dyDescent="0.25">
      <c r="C13" s="504"/>
      <c r="D13" s="26" t="s">
        <v>651</v>
      </c>
      <c r="E13" s="32" t="s">
        <v>499</v>
      </c>
      <c r="F13" s="322">
        <f t="shared" si="0"/>
        <v>0</v>
      </c>
      <c r="L13" s="506" t="s">
        <v>805</v>
      </c>
      <c r="M13" s="506"/>
      <c r="N13" s="508">
        <v>172799.99999999997</v>
      </c>
    </row>
    <row r="14" spans="3:14" ht="24.75" customHeight="1" x14ac:dyDescent="0.25">
      <c r="C14" s="504"/>
      <c r="D14" s="26" t="s">
        <v>652</v>
      </c>
      <c r="E14" s="32" t="s">
        <v>498</v>
      </c>
      <c r="F14" s="322">
        <f t="shared" si="0"/>
        <v>0</v>
      </c>
      <c r="L14" s="509" t="s">
        <v>806</v>
      </c>
      <c r="M14" s="509"/>
      <c r="N14" s="508">
        <v>25532.16</v>
      </c>
    </row>
    <row r="15" spans="3:14" ht="24.75" customHeight="1" x14ac:dyDescent="0.25">
      <c r="C15" s="504"/>
      <c r="D15" s="26" t="s">
        <v>653</v>
      </c>
      <c r="E15" s="32" t="s">
        <v>842</v>
      </c>
      <c r="F15" s="322">
        <f t="shared" si="0"/>
        <v>0</v>
      </c>
      <c r="L15" s="509" t="s">
        <v>807</v>
      </c>
      <c r="M15" s="509"/>
      <c r="N15" s="508">
        <v>30332.159999999996</v>
      </c>
    </row>
    <row r="16" spans="3:14" x14ac:dyDescent="0.25">
      <c r="L16" s="509" t="s">
        <v>808</v>
      </c>
      <c r="M16" s="509"/>
      <c r="N16" s="508">
        <v>41676</v>
      </c>
    </row>
    <row r="17" spans="12:14" x14ac:dyDescent="0.25">
      <c r="L17" s="509" t="s">
        <v>809</v>
      </c>
      <c r="M17" s="509"/>
      <c r="N17" s="508">
        <v>41676</v>
      </c>
    </row>
    <row r="18" spans="12:14" x14ac:dyDescent="0.25">
      <c r="L18" s="509" t="s">
        <v>810</v>
      </c>
      <c r="M18" s="509"/>
      <c r="N18" s="508">
        <v>60730.319999999992</v>
      </c>
    </row>
    <row r="19" spans="12:14" x14ac:dyDescent="0.25">
      <c r="L19" s="509" t="s">
        <v>811</v>
      </c>
      <c r="M19" s="509"/>
      <c r="N19" s="508">
        <v>63436.319999999992</v>
      </c>
    </row>
    <row r="20" spans="12:14" x14ac:dyDescent="0.25">
      <c r="L20" s="509" t="s">
        <v>812</v>
      </c>
      <c r="M20" s="509"/>
      <c r="N20" s="508">
        <v>67390.8</v>
      </c>
    </row>
    <row r="21" spans="12:14" x14ac:dyDescent="0.25">
      <c r="L21" s="509" t="s">
        <v>813</v>
      </c>
      <c r="M21" s="509"/>
      <c r="N21" s="508">
        <v>74751.12</v>
      </c>
    </row>
    <row r="22" spans="12:14" x14ac:dyDescent="0.25">
      <c r="L22" s="509" t="s">
        <v>814</v>
      </c>
      <c r="M22" s="509"/>
      <c r="N22" s="508">
        <v>77386.080000000002</v>
      </c>
    </row>
    <row r="23" spans="12:14" x14ac:dyDescent="0.25">
      <c r="L23" s="509" t="s">
        <v>815</v>
      </c>
      <c r="M23" s="509"/>
      <c r="N23" s="508">
        <v>9311.616</v>
      </c>
    </row>
    <row r="24" spans="12:14" x14ac:dyDescent="0.25">
      <c r="L24" s="509" t="s">
        <v>816</v>
      </c>
      <c r="M24" s="509"/>
      <c r="N24" s="508">
        <v>11918.472</v>
      </c>
    </row>
    <row r="25" spans="12:14" x14ac:dyDescent="0.25">
      <c r="L25" s="509" t="s">
        <v>817</v>
      </c>
      <c r="M25" s="509"/>
      <c r="N25" s="508">
        <v>33863.64</v>
      </c>
    </row>
    <row r="26" spans="12:14" x14ac:dyDescent="0.25">
      <c r="L26" s="509" t="s">
        <v>818</v>
      </c>
      <c r="M26" s="509"/>
      <c r="N26" s="508">
        <v>40868.591999999997</v>
      </c>
    </row>
    <row r="27" spans="12:14" x14ac:dyDescent="0.25">
      <c r="L27" s="509" t="s">
        <v>819</v>
      </c>
      <c r="M27" s="509"/>
      <c r="N27" s="508">
        <v>46638.792000000001</v>
      </c>
    </row>
    <row r="28" spans="12:14" x14ac:dyDescent="0.25">
      <c r="L28" s="509" t="s">
        <v>820</v>
      </c>
      <c r="M28" s="509"/>
      <c r="N28" s="508">
        <v>94131.431999999986</v>
      </c>
    </row>
    <row r="29" spans="12:14" x14ac:dyDescent="0.25">
      <c r="L29" s="509" t="s">
        <v>821</v>
      </c>
      <c r="M29" s="509"/>
      <c r="N29" s="508">
        <v>148488.84</v>
      </c>
    </row>
    <row r="30" spans="12:14" x14ac:dyDescent="0.25">
      <c r="L30" s="509" t="s">
        <v>822</v>
      </c>
      <c r="M30" s="509"/>
      <c r="N30" s="508">
        <v>325552.56</v>
      </c>
    </row>
    <row r="31" spans="12:14" x14ac:dyDescent="0.25">
      <c r="L31" s="509" t="s">
        <v>823</v>
      </c>
      <c r="M31" s="509"/>
      <c r="N31" s="508">
        <v>446040</v>
      </c>
    </row>
    <row r="32" spans="12:14" x14ac:dyDescent="0.25">
      <c r="L32" s="509" t="s">
        <v>824</v>
      </c>
      <c r="M32" s="509"/>
      <c r="N32" s="508">
        <v>453120</v>
      </c>
    </row>
    <row r="33" spans="3:14" x14ac:dyDescent="0.25">
      <c r="L33" s="509" t="s">
        <v>825</v>
      </c>
      <c r="M33" s="509"/>
      <c r="N33" s="508">
        <v>488520</v>
      </c>
    </row>
    <row r="34" spans="3:14" x14ac:dyDescent="0.25">
      <c r="L34" s="509" t="s">
        <v>826</v>
      </c>
      <c r="M34" s="509"/>
      <c r="N34" s="508">
        <v>549408</v>
      </c>
    </row>
    <row r="35" spans="3:14" x14ac:dyDescent="0.25">
      <c r="L35" s="509" t="s">
        <v>827</v>
      </c>
      <c r="M35" s="509"/>
      <c r="N35" s="508">
        <v>566400</v>
      </c>
    </row>
    <row r="36" spans="3:14" x14ac:dyDescent="0.25">
      <c r="L36" s="510" t="s">
        <v>828</v>
      </c>
      <c r="M36" s="510"/>
      <c r="N36" s="508">
        <v>587640</v>
      </c>
    </row>
    <row r="39" spans="3:14" x14ac:dyDescent="0.25">
      <c r="E39" s="506"/>
    </row>
    <row r="40" spans="3:14" hidden="1" x14ac:dyDescent="0.25">
      <c r="C40" s="506" t="s">
        <v>797</v>
      </c>
      <c r="D40" s="506"/>
      <c r="E40" s="506"/>
      <c r="F40" s="506"/>
      <c r="G40" s="506"/>
      <c r="H40" s="508">
        <v>1679.9999999999998</v>
      </c>
    </row>
    <row r="41" spans="3:14" hidden="1" x14ac:dyDescent="0.25">
      <c r="C41" s="506" t="s">
        <v>798</v>
      </c>
      <c r="D41" s="506"/>
      <c r="E41" s="506"/>
      <c r="F41" s="506"/>
      <c r="G41" s="506"/>
      <c r="H41" s="508">
        <v>2436</v>
      </c>
    </row>
    <row r="42" spans="3:14" hidden="1" x14ac:dyDescent="0.25">
      <c r="C42" s="506" t="s">
        <v>799</v>
      </c>
      <c r="D42" s="506"/>
      <c r="E42" s="506"/>
      <c r="F42" s="506"/>
      <c r="G42" s="506"/>
      <c r="H42" s="508">
        <v>3200.4</v>
      </c>
    </row>
    <row r="43" spans="3:14" hidden="1" x14ac:dyDescent="0.25">
      <c r="C43" s="506" t="s">
        <v>800</v>
      </c>
      <c r="D43" s="506"/>
      <c r="E43" s="506"/>
      <c r="F43" s="506"/>
      <c r="G43" s="506"/>
      <c r="H43" s="508">
        <v>4480.5599999999995</v>
      </c>
    </row>
    <row r="44" spans="3:14" hidden="1" x14ac:dyDescent="0.25">
      <c r="C44" s="506" t="s">
        <v>801</v>
      </c>
      <c r="D44" s="506"/>
      <c r="E44" s="506"/>
      <c r="F44" s="506"/>
      <c r="G44" s="506"/>
      <c r="H44" s="508">
        <v>9429.84</v>
      </c>
    </row>
    <row r="45" spans="3:14" hidden="1" x14ac:dyDescent="0.25">
      <c r="C45" s="506" t="s">
        <v>802</v>
      </c>
      <c r="D45" s="506"/>
      <c r="E45" s="506"/>
      <c r="F45" s="506"/>
      <c r="G45" s="506"/>
      <c r="H45" s="508">
        <v>11763.359999999997</v>
      </c>
    </row>
    <row r="46" spans="3:14" hidden="1" x14ac:dyDescent="0.25">
      <c r="C46" s="506" t="s">
        <v>803</v>
      </c>
      <c r="D46" s="506"/>
      <c r="E46" s="506"/>
      <c r="F46" s="506"/>
      <c r="G46" s="506"/>
      <c r="H46" s="508">
        <v>20543.04</v>
      </c>
    </row>
    <row r="47" spans="3:14" hidden="1" x14ac:dyDescent="0.25">
      <c r="C47" s="506" t="s">
        <v>804</v>
      </c>
      <c r="D47" s="506"/>
      <c r="E47" s="506"/>
      <c r="F47" s="506"/>
      <c r="G47" s="506"/>
      <c r="H47" s="508">
        <v>166200</v>
      </c>
    </row>
    <row r="48" spans="3:14" hidden="1" x14ac:dyDescent="0.25">
      <c r="C48" s="506" t="s">
        <v>805</v>
      </c>
      <c r="D48" s="506"/>
      <c r="E48" s="509"/>
      <c r="F48" s="506"/>
      <c r="G48" s="506"/>
      <c r="H48" s="508">
        <v>172799.99999999997</v>
      </c>
    </row>
    <row r="49" spans="3:8" hidden="1" x14ac:dyDescent="0.25">
      <c r="C49" s="509" t="s">
        <v>806</v>
      </c>
      <c r="D49" s="509"/>
      <c r="E49" s="509"/>
      <c r="F49" s="509"/>
      <c r="G49" s="509"/>
      <c r="H49" s="508">
        <v>25532.16</v>
      </c>
    </row>
    <row r="50" spans="3:8" hidden="1" x14ac:dyDescent="0.25">
      <c r="C50" s="509" t="s">
        <v>807</v>
      </c>
      <c r="D50" s="509"/>
      <c r="E50" s="509"/>
      <c r="F50" s="509"/>
      <c r="G50" s="509"/>
      <c r="H50" s="508">
        <v>30332.159999999996</v>
      </c>
    </row>
    <row r="51" spans="3:8" hidden="1" x14ac:dyDescent="0.25">
      <c r="C51" s="509" t="s">
        <v>808</v>
      </c>
      <c r="D51" s="509"/>
      <c r="E51" s="509"/>
      <c r="F51" s="509"/>
      <c r="G51" s="509"/>
      <c r="H51" s="508">
        <v>41676</v>
      </c>
    </row>
    <row r="52" spans="3:8" hidden="1" x14ac:dyDescent="0.25">
      <c r="C52" s="509" t="s">
        <v>809</v>
      </c>
      <c r="D52" s="509"/>
      <c r="E52" s="509"/>
      <c r="F52" s="509"/>
      <c r="G52" s="509"/>
      <c r="H52" s="508">
        <v>41676</v>
      </c>
    </row>
    <row r="53" spans="3:8" hidden="1" x14ac:dyDescent="0.25">
      <c r="C53" s="509" t="s">
        <v>810</v>
      </c>
      <c r="D53" s="509"/>
      <c r="E53" s="509"/>
      <c r="F53" s="509"/>
      <c r="G53" s="509"/>
      <c r="H53" s="508">
        <v>60730.319999999992</v>
      </c>
    </row>
    <row r="54" spans="3:8" hidden="1" x14ac:dyDescent="0.25">
      <c r="C54" s="509" t="s">
        <v>811</v>
      </c>
      <c r="D54" s="509"/>
      <c r="E54" s="509"/>
      <c r="F54" s="509"/>
      <c r="G54" s="509"/>
      <c r="H54" s="508">
        <v>63436.319999999992</v>
      </c>
    </row>
    <row r="55" spans="3:8" hidden="1" x14ac:dyDescent="0.25">
      <c r="C55" s="509" t="s">
        <v>812</v>
      </c>
      <c r="D55" s="509"/>
      <c r="E55" s="509"/>
      <c r="F55" s="509"/>
      <c r="G55" s="509"/>
      <c r="H55" s="508">
        <v>67390.8</v>
      </c>
    </row>
    <row r="56" spans="3:8" hidden="1" x14ac:dyDescent="0.25">
      <c r="C56" s="509" t="s">
        <v>813</v>
      </c>
      <c r="D56" s="509"/>
      <c r="E56" s="509"/>
      <c r="F56" s="509"/>
      <c r="G56" s="509"/>
      <c r="H56" s="508">
        <v>74751.12</v>
      </c>
    </row>
    <row r="57" spans="3:8" hidden="1" x14ac:dyDescent="0.25">
      <c r="C57" s="509" t="s">
        <v>814</v>
      </c>
      <c r="D57" s="509"/>
      <c r="E57" s="509"/>
      <c r="F57" s="509"/>
      <c r="G57" s="509"/>
      <c r="H57" s="508">
        <v>77386.080000000002</v>
      </c>
    </row>
    <row r="58" spans="3:8" hidden="1" x14ac:dyDescent="0.25">
      <c r="C58" s="509" t="s">
        <v>815</v>
      </c>
      <c r="D58" s="509"/>
      <c r="E58" s="509"/>
      <c r="F58" s="509"/>
      <c r="G58" s="509"/>
      <c r="H58" s="508">
        <v>9311.616</v>
      </c>
    </row>
    <row r="59" spans="3:8" hidden="1" x14ac:dyDescent="0.25">
      <c r="C59" s="509" t="s">
        <v>816</v>
      </c>
      <c r="D59" s="509"/>
      <c r="E59" s="509"/>
      <c r="F59" s="509"/>
      <c r="G59" s="509"/>
      <c r="H59" s="508">
        <v>11918.472</v>
      </c>
    </row>
    <row r="60" spans="3:8" hidden="1" x14ac:dyDescent="0.25">
      <c r="C60" s="509" t="s">
        <v>817</v>
      </c>
      <c r="D60" s="509"/>
      <c r="E60" s="509"/>
      <c r="F60" s="509"/>
      <c r="G60" s="509"/>
      <c r="H60" s="508">
        <v>33863.64</v>
      </c>
    </row>
    <row r="61" spans="3:8" hidden="1" x14ac:dyDescent="0.25">
      <c r="C61" s="509" t="s">
        <v>818</v>
      </c>
      <c r="D61" s="509"/>
      <c r="E61" s="509"/>
      <c r="F61" s="509"/>
      <c r="G61" s="509"/>
      <c r="H61" s="508">
        <v>40868.591999999997</v>
      </c>
    </row>
    <row r="62" spans="3:8" hidden="1" x14ac:dyDescent="0.25">
      <c r="C62" s="509" t="s">
        <v>819</v>
      </c>
      <c r="D62" s="509"/>
      <c r="E62" s="509"/>
      <c r="F62" s="509"/>
      <c r="G62" s="509"/>
      <c r="H62" s="508">
        <v>46638.792000000001</v>
      </c>
    </row>
    <row r="63" spans="3:8" hidden="1" x14ac:dyDescent="0.25">
      <c r="C63" s="509" t="s">
        <v>820</v>
      </c>
      <c r="D63" s="509"/>
      <c r="E63" s="509"/>
      <c r="F63" s="509"/>
      <c r="G63" s="509"/>
      <c r="H63" s="508">
        <v>94131.431999999986</v>
      </c>
    </row>
    <row r="64" spans="3:8" hidden="1" x14ac:dyDescent="0.25">
      <c r="C64" s="509" t="s">
        <v>821</v>
      </c>
      <c r="D64" s="509"/>
      <c r="E64" s="509"/>
      <c r="F64" s="509"/>
      <c r="G64" s="509"/>
      <c r="H64" s="508">
        <v>148488.84</v>
      </c>
    </row>
    <row r="65" spans="3:8" hidden="1" x14ac:dyDescent="0.25">
      <c r="C65" s="509" t="s">
        <v>822</v>
      </c>
      <c r="D65" s="509"/>
      <c r="E65" s="509"/>
      <c r="F65" s="509"/>
      <c r="G65" s="509"/>
      <c r="H65" s="508">
        <v>325552.56</v>
      </c>
    </row>
    <row r="66" spans="3:8" hidden="1" x14ac:dyDescent="0.25">
      <c r="C66" s="509" t="s">
        <v>823</v>
      </c>
      <c r="D66" s="509"/>
      <c r="E66" s="509"/>
      <c r="F66" s="509"/>
      <c r="G66" s="509"/>
      <c r="H66" s="508">
        <v>446040</v>
      </c>
    </row>
    <row r="67" spans="3:8" hidden="1" x14ac:dyDescent="0.25">
      <c r="C67" s="509" t="s">
        <v>824</v>
      </c>
      <c r="D67" s="509"/>
      <c r="E67" s="509"/>
      <c r="F67" s="509"/>
      <c r="G67" s="509"/>
      <c r="H67" s="508">
        <v>453120</v>
      </c>
    </row>
    <row r="68" spans="3:8" hidden="1" x14ac:dyDescent="0.25">
      <c r="C68" s="509" t="s">
        <v>825</v>
      </c>
      <c r="D68" s="509"/>
      <c r="E68" s="509"/>
      <c r="F68" s="509"/>
      <c r="G68" s="509"/>
      <c r="H68" s="508">
        <v>488520</v>
      </c>
    </row>
    <row r="69" spans="3:8" hidden="1" x14ac:dyDescent="0.25">
      <c r="C69" s="509" t="s">
        <v>826</v>
      </c>
      <c r="D69" s="509"/>
      <c r="E69" s="509"/>
      <c r="F69" s="509"/>
      <c r="G69" s="509"/>
      <c r="H69" s="508">
        <v>549408</v>
      </c>
    </row>
    <row r="70" spans="3:8" hidden="1" x14ac:dyDescent="0.25">
      <c r="C70" s="509" t="s">
        <v>827</v>
      </c>
      <c r="D70" s="509"/>
      <c r="E70" s="510"/>
      <c r="F70" s="509"/>
      <c r="G70" s="509"/>
      <c r="H70" s="508">
        <v>566400</v>
      </c>
    </row>
    <row r="71" spans="3:8" hidden="1" x14ac:dyDescent="0.25">
      <c r="C71" s="510" t="s">
        <v>828</v>
      </c>
      <c r="D71" s="510"/>
      <c r="F71" s="510"/>
      <c r="G71" s="510"/>
      <c r="H71" s="508">
        <v>587640</v>
      </c>
    </row>
    <row r="72" spans="3:8" hidden="1" x14ac:dyDescent="0.25"/>
    <row r="73" spans="3:8" hidden="1" x14ac:dyDescent="0.25">
      <c r="E73" s="507"/>
    </row>
    <row r="74" spans="3:8" s="511" customFormat="1" hidden="1" x14ac:dyDescent="0.25">
      <c r="C74" s="507" t="s">
        <v>829</v>
      </c>
      <c r="D74" s="507"/>
      <c r="E74" s="507"/>
      <c r="F74" s="507"/>
      <c r="G74" s="507"/>
      <c r="H74" s="508">
        <v>1350.6685919999998</v>
      </c>
    </row>
    <row r="75" spans="3:8" s="511" customFormat="1" hidden="1" x14ac:dyDescent="0.25">
      <c r="C75" s="507" t="s">
        <v>830</v>
      </c>
      <c r="D75" s="507"/>
      <c r="E75" s="507"/>
      <c r="F75" s="507"/>
      <c r="G75" s="507"/>
      <c r="H75" s="508">
        <v>2151.0427679999993</v>
      </c>
    </row>
    <row r="76" spans="3:8" s="511" customFormat="1" hidden="1" x14ac:dyDescent="0.25">
      <c r="C76" s="507" t="s">
        <v>831</v>
      </c>
      <c r="D76" s="507"/>
      <c r="E76" s="507"/>
      <c r="F76" s="507"/>
      <c r="G76" s="507"/>
      <c r="H76" s="508">
        <v>3351.6436799999997</v>
      </c>
    </row>
    <row r="77" spans="3:8" s="511" customFormat="1" hidden="1" x14ac:dyDescent="0.25">
      <c r="C77" s="507" t="s">
        <v>832</v>
      </c>
      <c r="D77" s="507"/>
      <c r="E77" s="507"/>
      <c r="F77" s="507"/>
      <c r="G77" s="507"/>
      <c r="H77" s="508">
        <v>5347.7222400000001</v>
      </c>
    </row>
    <row r="78" spans="3:8" s="511" customFormat="1" hidden="1" x14ac:dyDescent="0.25">
      <c r="C78" s="507" t="s">
        <v>833</v>
      </c>
      <c r="D78" s="507"/>
      <c r="E78" s="507"/>
      <c r="F78" s="507"/>
      <c r="G78" s="507"/>
      <c r="H78" s="508">
        <v>7567.5344639999994</v>
      </c>
    </row>
    <row r="79" spans="3:8" s="511" customFormat="1" hidden="1" x14ac:dyDescent="0.25">
      <c r="C79" s="507" t="s">
        <v>834</v>
      </c>
      <c r="D79" s="507"/>
      <c r="E79" s="507"/>
      <c r="F79" s="507"/>
      <c r="G79" s="507"/>
      <c r="H79" s="508">
        <v>10897.312271999996</v>
      </c>
    </row>
    <row r="80" spans="3:8" s="511" customFormat="1" hidden="1" x14ac:dyDescent="0.25">
      <c r="C80" s="507" t="s">
        <v>835</v>
      </c>
      <c r="D80" s="507"/>
      <c r="E80" s="507"/>
      <c r="F80" s="507"/>
      <c r="G80" s="507"/>
      <c r="H80" s="508">
        <v>16245.034511999997</v>
      </c>
    </row>
    <row r="81" spans="3:8" s="511" customFormat="1" hidden="1" x14ac:dyDescent="0.25">
      <c r="C81" s="507" t="s">
        <v>836</v>
      </c>
      <c r="D81" s="507"/>
      <c r="E81" s="507"/>
      <c r="F81" s="507"/>
      <c r="G81" s="507"/>
      <c r="H81" s="508">
        <v>21164.439407999998</v>
      </c>
    </row>
    <row r="82" spans="3:8" s="511" customFormat="1" hidden="1" x14ac:dyDescent="0.25">
      <c r="C82" s="507" t="s">
        <v>837</v>
      </c>
      <c r="D82" s="507"/>
      <c r="E82" s="507"/>
      <c r="F82" s="507"/>
      <c r="G82" s="507"/>
      <c r="H82" s="508">
        <v>26506.432511999992</v>
      </c>
    </row>
    <row r="83" spans="3:8" s="511" customFormat="1" hidden="1" x14ac:dyDescent="0.25">
      <c r="C83" s="507" t="s">
        <v>838</v>
      </c>
      <c r="D83" s="507"/>
      <c r="E83" s="507"/>
      <c r="F83" s="507"/>
      <c r="G83" s="507"/>
      <c r="H83" s="508">
        <v>34188.688463999999</v>
      </c>
    </row>
    <row r="84" spans="3:8" s="511" customFormat="1" hidden="1" x14ac:dyDescent="0.25">
      <c r="C84" s="507" t="s">
        <v>839</v>
      </c>
      <c r="D84" s="507"/>
      <c r="E84" s="507"/>
      <c r="F84" s="507"/>
      <c r="G84" s="507"/>
      <c r="H84" s="508">
        <v>53419.752623999993</v>
      </c>
    </row>
    <row r="85" spans="3:8" s="511" customFormat="1" hidden="1" x14ac:dyDescent="0.25">
      <c r="C85" s="507" t="s">
        <v>840</v>
      </c>
      <c r="D85" s="507"/>
      <c r="E85" s="507"/>
      <c r="F85" s="507"/>
      <c r="G85" s="507"/>
      <c r="H85" s="508">
        <v>83334.783167999994</v>
      </c>
    </row>
    <row r="86" spans="3:8" s="511" customFormat="1" hidden="1" x14ac:dyDescent="0.25">
      <c r="C86" s="507" t="s">
        <v>841</v>
      </c>
      <c r="D86" s="507"/>
      <c r="E86"/>
      <c r="F86" s="507"/>
      <c r="G86" s="507"/>
      <c r="H86" s="508">
        <v>132277.48363199996</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O113"/>
  <sheetViews>
    <sheetView topLeftCell="A10" workbookViewId="0">
      <selection activeCell="B30" sqref="B30"/>
    </sheetView>
  </sheetViews>
  <sheetFormatPr defaultColWidth="8.85546875" defaultRowHeight="15" x14ac:dyDescent="0.25"/>
  <cols>
    <col min="1" max="1" width="8.42578125" customWidth="1"/>
    <col min="2" max="2" width="115.5703125" bestFit="1" customWidth="1"/>
    <col min="3" max="3" width="7.28515625" bestFit="1" customWidth="1"/>
    <col min="4" max="4" width="10.42578125" style="512" bestFit="1" customWidth="1"/>
    <col min="5" max="5" width="14.7109375" bestFit="1" customWidth="1"/>
    <col min="6" max="6" width="14.7109375" customWidth="1"/>
    <col min="8" max="8" width="12.7109375" bestFit="1" customWidth="1"/>
    <col min="10" max="10" width="11.28515625" bestFit="1" customWidth="1"/>
    <col min="12" max="12" width="11.28515625" bestFit="1" customWidth="1"/>
    <col min="14" max="14" width="11.28515625" bestFit="1" customWidth="1"/>
  </cols>
  <sheetData>
    <row r="2" spans="1:41" s="1" customFormat="1" ht="15.75" x14ac:dyDescent="0.25">
      <c r="A2" s="112" t="s">
        <v>104</v>
      </c>
      <c r="B2" s="113" t="s">
        <v>610</v>
      </c>
      <c r="C2" s="22"/>
      <c r="D2" s="527"/>
      <c r="E2" s="24"/>
      <c r="F2" s="114"/>
    </row>
    <row r="3" spans="1:41" s="1" customFormat="1" ht="18.75" x14ac:dyDescent="0.25">
      <c r="A3" s="343" t="s">
        <v>105</v>
      </c>
      <c r="B3" s="330" t="s">
        <v>55</v>
      </c>
      <c r="C3" s="80" t="s">
        <v>194</v>
      </c>
      <c r="D3" s="528">
        <v>333.33333333333331</v>
      </c>
      <c r="E3" s="331">
        <v>500</v>
      </c>
      <c r="F3" s="331">
        <f t="shared" ref="F3:F15" si="0">+D3*E3</f>
        <v>166666.66666666666</v>
      </c>
    </row>
    <row r="4" spans="1:41" s="1" customFormat="1" ht="18.75" x14ac:dyDescent="0.25">
      <c r="A4" s="343" t="s">
        <v>106</v>
      </c>
      <c r="B4" s="330" t="s">
        <v>56</v>
      </c>
      <c r="C4" s="80" t="s">
        <v>195</v>
      </c>
      <c r="D4" s="528">
        <v>151.53333333333333</v>
      </c>
      <c r="E4" s="331">
        <v>2000</v>
      </c>
      <c r="F4" s="331">
        <f t="shared" si="0"/>
        <v>303066.66666666669</v>
      </c>
    </row>
    <row r="5" spans="1:41" s="1" customFormat="1" ht="18.75" x14ac:dyDescent="0.25">
      <c r="A5" s="343" t="s">
        <v>107</v>
      </c>
      <c r="B5" s="330" t="s">
        <v>611</v>
      </c>
      <c r="C5" s="80" t="s">
        <v>195</v>
      </c>
      <c r="D5" s="528">
        <v>80.510000000000005</v>
      </c>
      <c r="E5" s="331">
        <v>2500</v>
      </c>
      <c r="F5" s="331">
        <f t="shared" si="0"/>
        <v>201275</v>
      </c>
    </row>
    <row r="6" spans="1:41" s="1" customFormat="1" ht="31.5" x14ac:dyDescent="0.25">
      <c r="A6" s="343" t="s">
        <v>108</v>
      </c>
      <c r="B6" s="330" t="s">
        <v>612</v>
      </c>
      <c r="C6" s="80" t="s">
        <v>11</v>
      </c>
      <c r="D6" s="528">
        <v>21</v>
      </c>
      <c r="E6" s="331">
        <v>5000</v>
      </c>
      <c r="F6" s="331">
        <f t="shared" si="0"/>
        <v>105000</v>
      </c>
    </row>
    <row r="7" spans="1:41" s="1" customFormat="1" ht="18.75" x14ac:dyDescent="0.25">
      <c r="A7" s="343" t="s">
        <v>109</v>
      </c>
      <c r="B7" s="330" t="s">
        <v>57</v>
      </c>
      <c r="C7" s="80" t="s">
        <v>195</v>
      </c>
      <c r="D7" s="528">
        <v>8.3333333333333339</v>
      </c>
      <c r="E7" s="331">
        <v>25000</v>
      </c>
      <c r="F7" s="331">
        <f t="shared" si="0"/>
        <v>208333.33333333334</v>
      </c>
    </row>
    <row r="8" spans="1:41" s="1" customFormat="1" ht="18.75" x14ac:dyDescent="0.25">
      <c r="A8" s="343" t="s">
        <v>110</v>
      </c>
      <c r="B8" s="330" t="s">
        <v>58</v>
      </c>
      <c r="C8" s="80" t="s">
        <v>194</v>
      </c>
      <c r="D8" s="528">
        <v>21.333333333333332</v>
      </c>
      <c r="E8" s="331">
        <v>2000</v>
      </c>
      <c r="F8" s="331">
        <f t="shared" si="0"/>
        <v>42666.666666666664</v>
      </c>
    </row>
    <row r="9" spans="1:41" s="1" customFormat="1" ht="18.75" x14ac:dyDescent="0.25">
      <c r="A9" s="343" t="s">
        <v>111</v>
      </c>
      <c r="B9" s="330" t="s">
        <v>59</v>
      </c>
      <c r="C9" s="80" t="s">
        <v>195</v>
      </c>
      <c r="D9" s="528">
        <v>3.8333333333333335</v>
      </c>
      <c r="E9" s="331">
        <v>15000</v>
      </c>
      <c r="F9" s="331">
        <f t="shared" si="0"/>
        <v>57500</v>
      </c>
    </row>
    <row r="10" spans="1:41" s="1" customFormat="1" ht="18.75" x14ac:dyDescent="0.25">
      <c r="A10" s="343" t="s">
        <v>112</v>
      </c>
      <c r="B10" s="330" t="s">
        <v>60</v>
      </c>
      <c r="C10" s="80" t="s">
        <v>195</v>
      </c>
      <c r="D10" s="528">
        <v>3.6233333333333331</v>
      </c>
      <c r="E10" s="331">
        <v>5000</v>
      </c>
      <c r="F10" s="331">
        <f t="shared" si="0"/>
        <v>18116.666666666664</v>
      </c>
    </row>
    <row r="11" spans="1:41" s="1" customFormat="1" ht="31.5" x14ac:dyDescent="0.25">
      <c r="A11" s="343" t="s">
        <v>113</v>
      </c>
      <c r="B11" s="330" t="s">
        <v>61</v>
      </c>
      <c r="C11" s="80" t="s">
        <v>195</v>
      </c>
      <c r="D11" s="528">
        <v>232.04333333333332</v>
      </c>
      <c r="E11" s="331">
        <v>700</v>
      </c>
      <c r="F11" s="331">
        <f t="shared" si="0"/>
        <v>162430.33333333331</v>
      </c>
    </row>
    <row r="12" spans="1:41" s="1" customFormat="1" ht="18.75" x14ac:dyDescent="0.25">
      <c r="A12" s="343" t="s">
        <v>114</v>
      </c>
      <c r="B12" s="330" t="s">
        <v>62</v>
      </c>
      <c r="C12" s="80" t="s">
        <v>195</v>
      </c>
      <c r="D12" s="528">
        <v>16</v>
      </c>
      <c r="E12" s="331">
        <v>2000</v>
      </c>
      <c r="F12" s="331">
        <f t="shared" si="0"/>
        <v>32000</v>
      </c>
    </row>
    <row r="13" spans="1:41" s="1" customFormat="1" ht="18.75" x14ac:dyDescent="0.25">
      <c r="A13" s="343" t="s">
        <v>115</v>
      </c>
      <c r="B13" s="330" t="s">
        <v>613</v>
      </c>
      <c r="C13" s="80" t="s">
        <v>195</v>
      </c>
      <c r="D13" s="528">
        <v>3</v>
      </c>
      <c r="E13" s="331">
        <v>50000</v>
      </c>
      <c r="F13" s="331">
        <f t="shared" si="0"/>
        <v>150000</v>
      </c>
    </row>
    <row r="14" spans="1:41" s="1" customFormat="1" ht="15.75" x14ac:dyDescent="0.25">
      <c r="A14" s="343" t="s">
        <v>116</v>
      </c>
      <c r="B14" s="330" t="s">
        <v>63</v>
      </c>
      <c r="C14" s="80" t="s">
        <v>11</v>
      </c>
      <c r="D14" s="528">
        <v>32.666666666666664</v>
      </c>
      <c r="E14" s="331">
        <v>1000</v>
      </c>
      <c r="F14" s="331">
        <f t="shared" si="0"/>
        <v>32666.666666666664</v>
      </c>
    </row>
    <row r="15" spans="1:41" s="1" customFormat="1" ht="18.75" x14ac:dyDescent="0.25">
      <c r="A15" s="343" t="s">
        <v>117</v>
      </c>
      <c r="B15" s="330" t="s">
        <v>64</v>
      </c>
      <c r="C15" s="80" t="s">
        <v>194</v>
      </c>
      <c r="D15" s="528">
        <v>233.33333333333334</v>
      </c>
      <c r="E15" s="331">
        <v>500</v>
      </c>
      <c r="F15" s="331">
        <f t="shared" si="0"/>
        <v>116666.66666666667</v>
      </c>
    </row>
    <row r="16" spans="1:41" s="36" customFormat="1" ht="15.75" x14ac:dyDescent="0.25">
      <c r="A16" s="358"/>
      <c r="B16" s="359" t="s">
        <v>860</v>
      </c>
      <c r="C16" s="360"/>
      <c r="D16" s="529"/>
      <c r="E16" s="362"/>
      <c r="F16" s="363">
        <f>SUM(F3:F15)*3</f>
        <v>4789166.0000000009</v>
      </c>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41" s="36" customFormat="1" ht="15.75" x14ac:dyDescent="0.25">
      <c r="A17" s="130"/>
      <c r="B17" s="96" t="s">
        <v>854</v>
      </c>
      <c r="C17" s="97"/>
      <c r="D17" s="530">
        <v>1</v>
      </c>
      <c r="E17" s="350"/>
      <c r="F17" s="131">
        <f>F16*D17</f>
        <v>4789166.0000000009</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41" s="323" customFormat="1" ht="15.75" x14ac:dyDescent="0.25">
      <c r="A18" s="324"/>
      <c r="B18" s="325"/>
      <c r="C18" s="326"/>
      <c r="D18" s="327"/>
      <c r="E18" s="328"/>
      <c r="F18" s="329"/>
    </row>
    <row r="19" spans="1:41" s="1" customFormat="1" ht="15.75" x14ac:dyDescent="0.25">
      <c r="A19" s="112" t="s">
        <v>104</v>
      </c>
      <c r="B19" s="113" t="s">
        <v>615</v>
      </c>
      <c r="C19" s="22"/>
      <c r="D19" s="527"/>
      <c r="E19" s="24"/>
      <c r="F19" s="114"/>
    </row>
    <row r="20" spans="1:41" ht="16.5" x14ac:dyDescent="0.25">
      <c r="A20" s="343" t="s">
        <v>105</v>
      </c>
      <c r="B20" s="332" t="s">
        <v>67</v>
      </c>
      <c r="C20" s="333" t="s">
        <v>616</v>
      </c>
      <c r="D20" s="531">
        <v>20</v>
      </c>
      <c r="E20" s="331">
        <v>2000</v>
      </c>
      <c r="F20" s="331">
        <f t="shared" ref="F20:F28" si="1">+D20*E20</f>
        <v>40000</v>
      </c>
      <c r="G20" s="334"/>
    </row>
    <row r="21" spans="1:41" ht="16.5" x14ac:dyDescent="0.25">
      <c r="A21" s="343" t="s">
        <v>106</v>
      </c>
      <c r="B21" s="332" t="s">
        <v>617</v>
      </c>
      <c r="C21" s="333" t="s">
        <v>618</v>
      </c>
      <c r="D21" s="531">
        <v>24</v>
      </c>
      <c r="E21" s="331">
        <v>2500</v>
      </c>
      <c r="F21" s="331">
        <f t="shared" si="1"/>
        <v>60000</v>
      </c>
      <c r="G21" s="334"/>
    </row>
    <row r="22" spans="1:41" ht="16.5" x14ac:dyDescent="0.25">
      <c r="A22" s="343" t="s">
        <v>107</v>
      </c>
      <c r="B22" s="332" t="s">
        <v>619</v>
      </c>
      <c r="C22" s="333" t="s">
        <v>618</v>
      </c>
      <c r="D22" s="531">
        <v>25.92</v>
      </c>
      <c r="E22" s="331">
        <v>2500</v>
      </c>
      <c r="F22" s="331">
        <f t="shared" si="1"/>
        <v>64800.000000000007</v>
      </c>
      <c r="G22" s="334"/>
    </row>
    <row r="23" spans="1:41" ht="16.5" x14ac:dyDescent="0.25">
      <c r="A23" s="343" t="s">
        <v>108</v>
      </c>
      <c r="B23" s="332" t="s">
        <v>620</v>
      </c>
      <c r="C23" s="333" t="s">
        <v>618</v>
      </c>
      <c r="D23" s="531">
        <v>24.14</v>
      </c>
      <c r="E23" s="331">
        <v>10000</v>
      </c>
      <c r="F23" s="331">
        <f t="shared" si="1"/>
        <v>241400</v>
      </c>
      <c r="G23" s="334"/>
    </row>
    <row r="24" spans="1:41" ht="16.5" x14ac:dyDescent="0.25">
      <c r="A24" s="343" t="s">
        <v>109</v>
      </c>
      <c r="B24" s="335" t="s">
        <v>621</v>
      </c>
      <c r="C24" s="333" t="s">
        <v>618</v>
      </c>
      <c r="D24" s="531">
        <v>24.14</v>
      </c>
      <c r="E24" s="331">
        <v>2500</v>
      </c>
      <c r="F24" s="331">
        <f t="shared" si="1"/>
        <v>60350</v>
      </c>
      <c r="G24" s="334"/>
    </row>
    <row r="25" spans="1:41" ht="16.5" x14ac:dyDescent="0.25">
      <c r="A25" s="343" t="s">
        <v>110</v>
      </c>
      <c r="B25" s="332" t="s">
        <v>622</v>
      </c>
      <c r="C25" s="333" t="s">
        <v>618</v>
      </c>
      <c r="D25" s="531">
        <v>4.9000000000000004</v>
      </c>
      <c r="E25" s="331">
        <v>2500</v>
      </c>
      <c r="F25" s="331">
        <f t="shared" si="1"/>
        <v>12250</v>
      </c>
      <c r="G25" s="334"/>
    </row>
    <row r="26" spans="1:41" ht="16.5" x14ac:dyDescent="0.25">
      <c r="A26" s="343" t="s">
        <v>111</v>
      </c>
      <c r="B26" s="332" t="s">
        <v>22</v>
      </c>
      <c r="C26" s="333" t="s">
        <v>618</v>
      </c>
      <c r="D26" s="531">
        <v>21.64</v>
      </c>
      <c r="E26" s="331">
        <v>6000</v>
      </c>
      <c r="F26" s="331">
        <f t="shared" si="1"/>
        <v>129840</v>
      </c>
      <c r="G26" s="334"/>
    </row>
    <row r="27" spans="1:41" ht="15.75" x14ac:dyDescent="0.25">
      <c r="A27" s="343" t="s">
        <v>112</v>
      </c>
      <c r="B27" s="332" t="s">
        <v>623</v>
      </c>
      <c r="C27" s="333" t="s">
        <v>14</v>
      </c>
      <c r="D27" s="531">
        <v>2</v>
      </c>
      <c r="E27" s="331">
        <v>60000</v>
      </c>
      <c r="F27" s="331">
        <f t="shared" si="1"/>
        <v>120000</v>
      </c>
      <c r="G27" s="334"/>
    </row>
    <row r="28" spans="1:41" ht="15.75" x14ac:dyDescent="0.25">
      <c r="A28" s="343" t="s">
        <v>113</v>
      </c>
      <c r="B28" s="332" t="s">
        <v>624</v>
      </c>
      <c r="C28" s="333" t="s">
        <v>625</v>
      </c>
      <c r="D28" s="531">
        <v>2</v>
      </c>
      <c r="E28" s="331">
        <v>200000</v>
      </c>
      <c r="F28" s="331">
        <f t="shared" si="1"/>
        <v>400000</v>
      </c>
      <c r="G28" s="334"/>
    </row>
    <row r="29" spans="1:41" s="36" customFormat="1" ht="15.75" x14ac:dyDescent="0.25">
      <c r="A29" s="358"/>
      <c r="B29" s="359" t="s">
        <v>860</v>
      </c>
      <c r="C29" s="360"/>
      <c r="D29" s="529"/>
      <c r="E29" s="362"/>
      <c r="F29" s="363">
        <f>SUM(F20:F28)</f>
        <v>1128640</v>
      </c>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s="36" customFormat="1" ht="15.75" x14ac:dyDescent="0.25">
      <c r="A30" s="130"/>
      <c r="B30" s="96" t="s">
        <v>614</v>
      </c>
      <c r="C30" s="97"/>
      <c r="D30" s="530">
        <v>1</v>
      </c>
      <c r="E30" s="350"/>
      <c r="F30" s="131">
        <f>F29*D30</f>
        <v>1128640</v>
      </c>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s="323" customFormat="1" ht="15.75" x14ac:dyDescent="0.25">
      <c r="A31" s="324"/>
      <c r="B31" s="325"/>
      <c r="C31" s="326"/>
      <c r="D31" s="327"/>
      <c r="E31" s="328"/>
      <c r="F31" s="329"/>
    </row>
    <row r="32" spans="1:41" s="323" customFormat="1" ht="15.75" x14ac:dyDescent="0.25">
      <c r="A32" s="324"/>
      <c r="B32" s="325"/>
      <c r="C32" s="326"/>
      <c r="D32" s="327"/>
      <c r="E32" s="328"/>
      <c r="F32" s="329"/>
    </row>
    <row r="33" spans="1:41" s="1" customFormat="1" ht="15.75" x14ac:dyDescent="0.25">
      <c r="A33" s="112" t="s">
        <v>104</v>
      </c>
      <c r="B33" s="113" t="s">
        <v>631</v>
      </c>
      <c r="C33" s="22"/>
      <c r="D33" s="527"/>
      <c r="E33" s="24"/>
      <c r="F33" s="114"/>
    </row>
    <row r="34" spans="1:41" s="1" customFormat="1" ht="18.75" x14ac:dyDescent="0.25">
      <c r="A34" s="343" t="s">
        <v>105</v>
      </c>
      <c r="B34" s="36" t="s">
        <v>619</v>
      </c>
      <c r="C34" s="321" t="s">
        <v>194</v>
      </c>
      <c r="D34" s="532">
        <v>21.02</v>
      </c>
      <c r="E34" s="16">
        <v>2500</v>
      </c>
      <c r="F34" s="16">
        <f t="shared" ref="F34:F41" si="2">+D34*E34</f>
        <v>52550</v>
      </c>
    </row>
    <row r="35" spans="1:41" s="1" customFormat="1" ht="18.75" x14ac:dyDescent="0.25">
      <c r="A35" s="343" t="s">
        <v>106</v>
      </c>
      <c r="B35" s="342" t="s">
        <v>632</v>
      </c>
      <c r="C35" s="343" t="s">
        <v>633</v>
      </c>
      <c r="D35" s="532">
        <v>2.4500000000000002</v>
      </c>
      <c r="E35" s="16">
        <v>2500</v>
      </c>
      <c r="F35" s="16">
        <f t="shared" si="2"/>
        <v>6125</v>
      </c>
    </row>
    <row r="36" spans="1:41" s="1" customFormat="1" ht="18.75" x14ac:dyDescent="0.25">
      <c r="A36" s="343" t="s">
        <v>107</v>
      </c>
      <c r="B36" s="342" t="s">
        <v>22</v>
      </c>
      <c r="C36" s="343" t="s">
        <v>633</v>
      </c>
      <c r="D36" s="532">
        <v>18.25</v>
      </c>
      <c r="E36" s="16">
        <v>6000</v>
      </c>
      <c r="F36" s="16">
        <f t="shared" si="2"/>
        <v>109500</v>
      </c>
    </row>
    <row r="37" spans="1:41" s="1" customFormat="1" ht="15.75" x14ac:dyDescent="0.25">
      <c r="A37" s="343" t="s">
        <v>108</v>
      </c>
      <c r="B37" s="342" t="s">
        <v>68</v>
      </c>
      <c r="C37" s="343" t="s">
        <v>14</v>
      </c>
      <c r="D37" s="532">
        <v>1</v>
      </c>
      <c r="E37" s="16">
        <v>80000</v>
      </c>
      <c r="F37" s="16">
        <f t="shared" si="2"/>
        <v>80000</v>
      </c>
    </row>
    <row r="38" spans="1:41" s="1" customFormat="1" ht="15.75" x14ac:dyDescent="0.25">
      <c r="A38" s="343" t="s">
        <v>109</v>
      </c>
      <c r="B38" s="342" t="s">
        <v>24</v>
      </c>
      <c r="C38" s="343" t="s">
        <v>14</v>
      </c>
      <c r="D38" s="532">
        <v>1</v>
      </c>
      <c r="E38" s="16">
        <v>150000</v>
      </c>
      <c r="F38" s="16">
        <f t="shared" si="2"/>
        <v>150000</v>
      </c>
    </row>
    <row r="39" spans="1:41" s="1" customFormat="1" ht="15.75" x14ac:dyDescent="0.25">
      <c r="A39" s="343" t="s">
        <v>110</v>
      </c>
      <c r="B39" s="344" t="s">
        <v>634</v>
      </c>
      <c r="C39" s="343" t="s">
        <v>14</v>
      </c>
      <c r="D39" s="532">
        <v>1</v>
      </c>
      <c r="E39" s="16">
        <v>300000</v>
      </c>
      <c r="F39" s="16">
        <f t="shared" si="2"/>
        <v>300000</v>
      </c>
    </row>
    <row r="40" spans="1:41" s="1" customFormat="1" ht="15.75" x14ac:dyDescent="0.25">
      <c r="A40" s="343" t="s">
        <v>111</v>
      </c>
      <c r="B40" s="342" t="s">
        <v>635</v>
      </c>
      <c r="C40" s="343" t="s">
        <v>625</v>
      </c>
      <c r="D40" s="532">
        <v>1</v>
      </c>
      <c r="E40" s="16">
        <v>150000</v>
      </c>
      <c r="F40" s="16">
        <f t="shared" si="2"/>
        <v>150000</v>
      </c>
    </row>
    <row r="41" spans="1:41" s="1" customFormat="1" ht="15.75" x14ac:dyDescent="0.25">
      <c r="A41" s="343" t="s">
        <v>112</v>
      </c>
      <c r="B41" s="342" t="s">
        <v>624</v>
      </c>
      <c r="C41" s="343" t="s">
        <v>625</v>
      </c>
      <c r="D41" s="532">
        <v>1</v>
      </c>
      <c r="E41" s="16">
        <v>300000</v>
      </c>
      <c r="F41" s="16">
        <f t="shared" si="2"/>
        <v>300000</v>
      </c>
    </row>
    <row r="42" spans="1:41" s="36" customFormat="1" ht="15.75" x14ac:dyDescent="0.25">
      <c r="A42" s="358"/>
      <c r="B42" s="359" t="s">
        <v>860</v>
      </c>
      <c r="C42" s="360"/>
      <c r="D42" s="529"/>
      <c r="E42" s="362"/>
      <c r="F42" s="363">
        <f>SUM(F34:F41)</f>
        <v>1148175</v>
      </c>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s="36" customFormat="1" ht="15.75" x14ac:dyDescent="0.25">
      <c r="A43" s="130"/>
      <c r="B43" s="96" t="s">
        <v>855</v>
      </c>
      <c r="C43" s="97"/>
      <c r="D43" s="530">
        <v>1</v>
      </c>
      <c r="E43" s="350"/>
      <c r="F43" s="131">
        <f>F42*D43</f>
        <v>1148175</v>
      </c>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s="323" customFormat="1" ht="15.75" x14ac:dyDescent="0.25">
      <c r="A44" s="324"/>
      <c r="B44" s="325"/>
      <c r="C44" s="326"/>
      <c r="D44" s="327"/>
      <c r="E44" s="328"/>
      <c r="F44" s="329"/>
    </row>
    <row r="45" spans="1:41" s="1" customFormat="1" ht="15.75" x14ac:dyDescent="0.25">
      <c r="A45" s="112" t="s">
        <v>104</v>
      </c>
      <c r="B45" s="113" t="s">
        <v>636</v>
      </c>
      <c r="C45" s="22"/>
      <c r="D45" s="527"/>
      <c r="E45" s="24"/>
      <c r="F45" s="114"/>
    </row>
    <row r="46" spans="1:41" s="1" customFormat="1" ht="18.75" x14ac:dyDescent="0.25">
      <c r="A46" s="343" t="s">
        <v>105</v>
      </c>
      <c r="B46" s="26" t="s">
        <v>67</v>
      </c>
      <c r="C46" s="27" t="s">
        <v>195</v>
      </c>
      <c r="D46" s="533">
        <v>15</v>
      </c>
      <c r="E46" s="345">
        <v>2000</v>
      </c>
      <c r="F46" s="345">
        <f t="shared" ref="F46:F56" si="3">+D46*E46</f>
        <v>30000</v>
      </c>
    </row>
    <row r="47" spans="1:41" s="1" customFormat="1" ht="18.75" x14ac:dyDescent="0.25">
      <c r="A47" s="343" t="s">
        <v>106</v>
      </c>
      <c r="B47" s="26" t="s">
        <v>617</v>
      </c>
      <c r="C47" s="27" t="s">
        <v>194</v>
      </c>
      <c r="D47" s="534">
        <v>16.010000000000002</v>
      </c>
      <c r="E47" s="345">
        <v>2500</v>
      </c>
      <c r="F47" s="345">
        <f t="shared" si="3"/>
        <v>40025.000000000007</v>
      </c>
    </row>
    <row r="48" spans="1:41" s="1" customFormat="1" ht="18.75" x14ac:dyDescent="0.25">
      <c r="A48" s="343" t="s">
        <v>107</v>
      </c>
      <c r="B48" s="26" t="s">
        <v>619</v>
      </c>
      <c r="C48" s="27" t="s">
        <v>194</v>
      </c>
      <c r="D48" s="534">
        <v>12.96</v>
      </c>
      <c r="E48" s="345">
        <v>2500</v>
      </c>
      <c r="F48" s="345">
        <f t="shared" si="3"/>
        <v>32400.000000000004</v>
      </c>
    </row>
    <row r="49" spans="1:41" s="1" customFormat="1" ht="18.75" x14ac:dyDescent="0.25">
      <c r="A49" s="343" t="s">
        <v>108</v>
      </c>
      <c r="B49" s="26" t="s">
        <v>620</v>
      </c>
      <c r="C49" s="27" t="s">
        <v>194</v>
      </c>
      <c r="D49" s="534">
        <v>12.07</v>
      </c>
      <c r="E49" s="345">
        <v>10000</v>
      </c>
      <c r="F49" s="345">
        <f t="shared" si="3"/>
        <v>120700</v>
      </c>
    </row>
    <row r="50" spans="1:41" s="1" customFormat="1" ht="18.75" x14ac:dyDescent="0.25">
      <c r="A50" s="343" t="s">
        <v>109</v>
      </c>
      <c r="B50" s="26" t="s">
        <v>622</v>
      </c>
      <c r="C50" s="27" t="s">
        <v>194</v>
      </c>
      <c r="D50" s="534">
        <v>2.4500000000000002</v>
      </c>
      <c r="E50" s="345">
        <v>2500</v>
      </c>
      <c r="F50" s="345">
        <f t="shared" si="3"/>
        <v>6125</v>
      </c>
    </row>
    <row r="51" spans="1:41" s="1" customFormat="1" ht="18.75" x14ac:dyDescent="0.25">
      <c r="A51" s="343" t="s">
        <v>110</v>
      </c>
      <c r="B51" s="346" t="s">
        <v>621</v>
      </c>
      <c r="C51" s="27" t="s">
        <v>194</v>
      </c>
      <c r="D51" s="534">
        <v>12.07</v>
      </c>
      <c r="E51" s="345">
        <v>2500</v>
      </c>
      <c r="F51" s="345">
        <f t="shared" si="3"/>
        <v>30175</v>
      </c>
    </row>
    <row r="52" spans="1:41" s="1" customFormat="1" ht="18.75" x14ac:dyDescent="0.25">
      <c r="A52" s="343" t="s">
        <v>111</v>
      </c>
      <c r="B52" s="61" t="s">
        <v>22</v>
      </c>
      <c r="C52" s="27" t="s">
        <v>194</v>
      </c>
      <c r="D52" s="534">
        <v>4.5</v>
      </c>
      <c r="E52" s="345">
        <v>6000</v>
      </c>
      <c r="F52" s="345">
        <f t="shared" si="3"/>
        <v>27000</v>
      </c>
    </row>
    <row r="53" spans="1:41" s="1" customFormat="1" ht="15.75" x14ac:dyDescent="0.25">
      <c r="A53" s="343" t="s">
        <v>112</v>
      </c>
      <c r="B53" s="37" t="s">
        <v>623</v>
      </c>
      <c r="C53" s="27" t="s">
        <v>14</v>
      </c>
      <c r="D53" s="534">
        <v>1</v>
      </c>
      <c r="E53" s="345">
        <v>60000</v>
      </c>
      <c r="F53" s="345">
        <f t="shared" si="3"/>
        <v>60000</v>
      </c>
    </row>
    <row r="54" spans="1:41" s="1" customFormat="1" ht="15.75" x14ac:dyDescent="0.25">
      <c r="A54" s="343" t="s">
        <v>113</v>
      </c>
      <c r="B54" s="342" t="s">
        <v>635</v>
      </c>
      <c r="C54" s="343" t="s">
        <v>625</v>
      </c>
      <c r="D54" s="532">
        <v>1</v>
      </c>
      <c r="E54" s="16">
        <v>150000</v>
      </c>
      <c r="F54" s="16">
        <f t="shared" si="3"/>
        <v>150000</v>
      </c>
    </row>
    <row r="55" spans="1:41" s="1" customFormat="1" ht="15.75" x14ac:dyDescent="0.25">
      <c r="A55" s="343" t="s">
        <v>114</v>
      </c>
      <c r="B55" s="347" t="s">
        <v>634</v>
      </c>
      <c r="C55" s="348" t="s">
        <v>625</v>
      </c>
      <c r="D55" s="535">
        <v>1</v>
      </c>
      <c r="E55" s="345">
        <v>450000</v>
      </c>
      <c r="F55" s="345">
        <f t="shared" si="3"/>
        <v>450000</v>
      </c>
    </row>
    <row r="56" spans="1:41" s="1" customFormat="1" ht="15.75" x14ac:dyDescent="0.25">
      <c r="A56" s="343" t="s">
        <v>115</v>
      </c>
      <c r="B56" s="26" t="s">
        <v>637</v>
      </c>
      <c r="C56" s="27" t="s">
        <v>625</v>
      </c>
      <c r="D56" s="534">
        <v>1</v>
      </c>
      <c r="E56" s="345">
        <v>250000</v>
      </c>
      <c r="F56" s="345">
        <f t="shared" si="3"/>
        <v>250000</v>
      </c>
    </row>
    <row r="57" spans="1:41" s="36" customFormat="1" ht="15.75" x14ac:dyDescent="0.25">
      <c r="A57" s="358"/>
      <c r="B57" s="359" t="s">
        <v>860</v>
      </c>
      <c r="C57" s="360"/>
      <c r="D57" s="529"/>
      <c r="E57" s="362"/>
      <c r="F57" s="363">
        <f>SUM(F46:F56)*2</f>
        <v>2392850</v>
      </c>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s="36" customFormat="1" ht="15.75" x14ac:dyDescent="0.25">
      <c r="A58" s="130"/>
      <c r="B58" s="96" t="s">
        <v>856</v>
      </c>
      <c r="C58" s="97"/>
      <c r="D58" s="530">
        <v>1</v>
      </c>
      <c r="E58" s="350"/>
      <c r="F58" s="131">
        <f>F57*D58</f>
        <v>2392850</v>
      </c>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s="323" customFormat="1" ht="15.75" x14ac:dyDescent="0.25">
      <c r="A59" s="324"/>
      <c r="B59" s="325"/>
      <c r="C59" s="326"/>
      <c r="D59" s="327"/>
      <c r="E59" s="328"/>
      <c r="F59" s="329"/>
    </row>
    <row r="60" spans="1:41" s="1" customFormat="1" ht="15.75" x14ac:dyDescent="0.25">
      <c r="A60" s="112" t="s">
        <v>104</v>
      </c>
      <c r="B60" s="113" t="s">
        <v>638</v>
      </c>
      <c r="C60" s="22"/>
      <c r="D60" s="527"/>
      <c r="E60" s="24"/>
      <c r="F60" s="114"/>
    </row>
    <row r="61" spans="1:41" s="1" customFormat="1" ht="18.75" x14ac:dyDescent="0.25">
      <c r="A61" s="343" t="s">
        <v>105</v>
      </c>
      <c r="B61" s="26" t="s">
        <v>67</v>
      </c>
      <c r="C61" s="27" t="s">
        <v>195</v>
      </c>
      <c r="D61" s="532">
        <v>37.800000000000004</v>
      </c>
      <c r="E61" s="345">
        <v>2000</v>
      </c>
      <c r="F61" s="345">
        <f t="shared" ref="F61:F71" si="4">+D61*E61</f>
        <v>75600.000000000015</v>
      </c>
    </row>
    <row r="62" spans="1:41" s="1" customFormat="1" ht="18.75" x14ac:dyDescent="0.25">
      <c r="A62" s="343" t="s">
        <v>106</v>
      </c>
      <c r="B62" s="26" t="s">
        <v>617</v>
      </c>
      <c r="C62" s="27" t="s">
        <v>194</v>
      </c>
      <c r="D62" s="536">
        <v>32.366372196342532</v>
      </c>
      <c r="E62" s="345">
        <v>2500</v>
      </c>
      <c r="F62" s="345">
        <f t="shared" si="4"/>
        <v>80915.930490856335</v>
      </c>
    </row>
    <row r="63" spans="1:41" s="1" customFormat="1" ht="18.75" x14ac:dyDescent="0.25">
      <c r="A63" s="343" t="s">
        <v>107</v>
      </c>
      <c r="B63" s="26" t="s">
        <v>619</v>
      </c>
      <c r="C63" s="27" t="s">
        <v>194</v>
      </c>
      <c r="D63" s="536">
        <v>12.494401635403952</v>
      </c>
      <c r="E63" s="345">
        <v>2500</v>
      </c>
      <c r="F63" s="345">
        <f t="shared" si="4"/>
        <v>31236.004088509879</v>
      </c>
    </row>
    <row r="64" spans="1:41" s="1" customFormat="1" ht="18.75" x14ac:dyDescent="0.25">
      <c r="A64" s="343" t="s">
        <v>108</v>
      </c>
      <c r="B64" s="26" t="s">
        <v>620</v>
      </c>
      <c r="C64" s="27" t="s">
        <v>194</v>
      </c>
      <c r="D64" s="536">
        <v>32.366372196342532</v>
      </c>
      <c r="E64" s="345">
        <v>10000</v>
      </c>
      <c r="F64" s="345">
        <f t="shared" si="4"/>
        <v>323663.72196342534</v>
      </c>
    </row>
    <row r="65" spans="1:41" s="1" customFormat="1" ht="18.75" x14ac:dyDescent="0.25">
      <c r="A65" s="343" t="s">
        <v>109</v>
      </c>
      <c r="B65" s="26" t="s">
        <v>622</v>
      </c>
      <c r="C65" s="27" t="s">
        <v>194</v>
      </c>
      <c r="D65" s="536">
        <v>12.494401635403952</v>
      </c>
      <c r="E65" s="345">
        <v>2500</v>
      </c>
      <c r="F65" s="345">
        <f t="shared" si="4"/>
        <v>31236.004088509879</v>
      </c>
    </row>
    <row r="66" spans="1:41" s="1" customFormat="1" ht="18.75" x14ac:dyDescent="0.25">
      <c r="A66" s="343" t="s">
        <v>110</v>
      </c>
      <c r="B66" s="346" t="s">
        <v>621</v>
      </c>
      <c r="C66" s="27" t="s">
        <v>194</v>
      </c>
      <c r="D66" s="536">
        <v>12.07</v>
      </c>
      <c r="E66" s="345">
        <v>2500</v>
      </c>
      <c r="F66" s="345">
        <f t="shared" si="4"/>
        <v>30175</v>
      </c>
    </row>
    <row r="67" spans="1:41" s="1" customFormat="1" ht="18.75" x14ac:dyDescent="0.25">
      <c r="A67" s="343" t="s">
        <v>111</v>
      </c>
      <c r="B67" s="61" t="s">
        <v>22</v>
      </c>
      <c r="C67" s="27" t="s">
        <v>194</v>
      </c>
      <c r="D67" s="536">
        <v>14.014018885699473</v>
      </c>
      <c r="E67" s="345">
        <v>6000</v>
      </c>
      <c r="F67" s="345">
        <f t="shared" si="4"/>
        <v>84084.113314196831</v>
      </c>
    </row>
    <row r="68" spans="1:41" s="1" customFormat="1" ht="15.75" x14ac:dyDescent="0.25">
      <c r="A68" s="343" t="s">
        <v>112</v>
      </c>
      <c r="B68" s="37" t="s">
        <v>623</v>
      </c>
      <c r="C68" s="27" t="s">
        <v>14</v>
      </c>
      <c r="D68" s="536">
        <v>1</v>
      </c>
      <c r="E68" s="345">
        <v>60000</v>
      </c>
      <c r="F68" s="345">
        <f t="shared" si="4"/>
        <v>60000</v>
      </c>
    </row>
    <row r="69" spans="1:41" s="1" customFormat="1" ht="15.75" x14ac:dyDescent="0.25">
      <c r="A69" s="343" t="s">
        <v>113</v>
      </c>
      <c r="B69" s="342" t="s">
        <v>635</v>
      </c>
      <c r="C69" s="343" t="s">
        <v>625</v>
      </c>
      <c r="D69" s="532">
        <v>1</v>
      </c>
      <c r="E69" s="16">
        <v>150000</v>
      </c>
      <c r="F69" s="16">
        <f t="shared" si="4"/>
        <v>150000</v>
      </c>
    </row>
    <row r="70" spans="1:41" s="1" customFormat="1" ht="15.75" x14ac:dyDescent="0.25">
      <c r="A70" s="343" t="s">
        <v>114</v>
      </c>
      <c r="B70" s="347" t="s">
        <v>634</v>
      </c>
      <c r="C70" s="348" t="s">
        <v>625</v>
      </c>
      <c r="D70" s="537">
        <v>1</v>
      </c>
      <c r="E70" s="345">
        <v>450000</v>
      </c>
      <c r="F70" s="345">
        <f t="shared" si="4"/>
        <v>450000</v>
      </c>
    </row>
    <row r="71" spans="1:41" s="1" customFormat="1" ht="15.75" x14ac:dyDescent="0.25">
      <c r="A71" s="343" t="s">
        <v>115</v>
      </c>
      <c r="B71" s="26" t="s">
        <v>637</v>
      </c>
      <c r="C71" s="27" t="s">
        <v>625</v>
      </c>
      <c r="D71" s="536">
        <v>1</v>
      </c>
      <c r="E71" s="345">
        <v>250000</v>
      </c>
      <c r="F71" s="345">
        <f t="shared" si="4"/>
        <v>250000</v>
      </c>
    </row>
    <row r="72" spans="1:41" s="36" customFormat="1" ht="15.75" x14ac:dyDescent="0.25">
      <c r="A72" s="358"/>
      <c r="B72" s="359" t="s">
        <v>860</v>
      </c>
      <c r="C72" s="360"/>
      <c r="D72" s="529"/>
      <c r="E72" s="362"/>
      <c r="F72" s="363">
        <f>SUM(F61:F71)*2</f>
        <v>3133821.5478909966</v>
      </c>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s="36" customFormat="1" ht="15.75" x14ac:dyDescent="0.25">
      <c r="A73" s="130"/>
      <c r="B73" s="96" t="s">
        <v>857</v>
      </c>
      <c r="C73" s="97"/>
      <c r="D73" s="530">
        <v>1</v>
      </c>
      <c r="E73" s="350"/>
      <c r="F73" s="131">
        <f>F72*D73</f>
        <v>3133821.5478909966</v>
      </c>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s="323" customFormat="1" ht="15.75" x14ac:dyDescent="0.25">
      <c r="A74" s="324"/>
      <c r="B74" s="325"/>
      <c r="C74" s="326"/>
      <c r="D74" s="327"/>
      <c r="E74" s="328"/>
      <c r="F74" s="329"/>
    </row>
    <row r="75" spans="1:41" s="323" customFormat="1" ht="15.75" x14ac:dyDescent="0.25">
      <c r="A75" s="324"/>
      <c r="B75" s="325"/>
      <c r="C75" s="326"/>
      <c r="D75" s="327"/>
      <c r="E75" s="328"/>
      <c r="F75" s="329"/>
    </row>
    <row r="76" spans="1:41" s="1" customFormat="1" ht="15.75" x14ac:dyDescent="0.25">
      <c r="A76" s="112" t="s">
        <v>104</v>
      </c>
      <c r="B76" s="113" t="s">
        <v>639</v>
      </c>
      <c r="C76" s="22"/>
      <c r="D76" s="527"/>
      <c r="E76" s="24"/>
      <c r="F76" s="114"/>
    </row>
    <row r="77" spans="1:41" s="1" customFormat="1" ht="18.75" x14ac:dyDescent="0.25">
      <c r="A77" s="343" t="s">
        <v>105</v>
      </c>
      <c r="B77" s="26" t="s">
        <v>67</v>
      </c>
      <c r="C77" s="27" t="s">
        <v>195</v>
      </c>
      <c r="D77" s="538">
        <v>44.362500000000004</v>
      </c>
      <c r="E77" s="345">
        <v>2000</v>
      </c>
      <c r="F77" s="345">
        <f t="shared" ref="F77:F87" si="5">+D77*E77</f>
        <v>88725.000000000015</v>
      </c>
    </row>
    <row r="78" spans="1:41" s="1" customFormat="1" ht="18.75" x14ac:dyDescent="0.25">
      <c r="A78" s="343" t="s">
        <v>106</v>
      </c>
      <c r="B78" s="26" t="s">
        <v>617</v>
      </c>
      <c r="C78" s="27" t="s">
        <v>194</v>
      </c>
      <c r="D78" s="539">
        <v>32.805295886948016</v>
      </c>
      <c r="E78" s="345">
        <v>2500</v>
      </c>
      <c r="F78" s="345">
        <f t="shared" si="5"/>
        <v>82013.239717370045</v>
      </c>
    </row>
    <row r="79" spans="1:41" s="1" customFormat="1" ht="18.75" x14ac:dyDescent="0.25">
      <c r="A79" s="343" t="s">
        <v>107</v>
      </c>
      <c r="B79" s="26" t="s">
        <v>619</v>
      </c>
      <c r="C79" s="27" t="s">
        <v>194</v>
      </c>
      <c r="D79" s="539">
        <v>16.486764086773878</v>
      </c>
      <c r="E79" s="345">
        <v>2500</v>
      </c>
      <c r="F79" s="345">
        <f t="shared" si="5"/>
        <v>41216.910216934695</v>
      </c>
    </row>
    <row r="80" spans="1:41" s="1" customFormat="1" ht="18.75" x14ac:dyDescent="0.25">
      <c r="A80" s="343" t="s">
        <v>108</v>
      </c>
      <c r="B80" s="26" t="s">
        <v>620</v>
      </c>
      <c r="C80" s="27" t="s">
        <v>194</v>
      </c>
      <c r="D80" s="539">
        <v>32.805295886948016</v>
      </c>
      <c r="E80" s="345">
        <v>10000</v>
      </c>
      <c r="F80" s="345">
        <f t="shared" si="5"/>
        <v>328052.95886948018</v>
      </c>
    </row>
    <row r="81" spans="1:41" s="1" customFormat="1" ht="18.75" x14ac:dyDescent="0.25">
      <c r="A81" s="343" t="s">
        <v>109</v>
      </c>
      <c r="B81" s="26" t="s">
        <v>622</v>
      </c>
      <c r="C81" s="27" t="s">
        <v>194</v>
      </c>
      <c r="D81" s="539">
        <v>16.486764086773878</v>
      </c>
      <c r="E81" s="345">
        <v>2500</v>
      </c>
      <c r="F81" s="345">
        <f t="shared" si="5"/>
        <v>41216.910216934695</v>
      </c>
    </row>
    <row r="82" spans="1:41" s="1" customFormat="1" ht="18.75" x14ac:dyDescent="0.25">
      <c r="A82" s="343" t="s">
        <v>110</v>
      </c>
      <c r="B82" s="346" t="s">
        <v>621</v>
      </c>
      <c r="C82" s="27" t="s">
        <v>194</v>
      </c>
      <c r="D82" s="539">
        <v>12.07</v>
      </c>
      <c r="E82" s="345">
        <v>2500</v>
      </c>
      <c r="F82" s="345">
        <f t="shared" si="5"/>
        <v>30175</v>
      </c>
    </row>
    <row r="83" spans="1:41" s="1" customFormat="1" ht="18.75" x14ac:dyDescent="0.25">
      <c r="A83" s="343" t="s">
        <v>111</v>
      </c>
      <c r="B83" s="61" t="s">
        <v>22</v>
      </c>
      <c r="C83" s="27" t="s">
        <v>194</v>
      </c>
      <c r="D83" s="539">
        <v>20.955024655180353</v>
      </c>
      <c r="E83" s="345">
        <v>6000</v>
      </c>
      <c r="F83" s="345">
        <f t="shared" si="5"/>
        <v>125730.14793108212</v>
      </c>
    </row>
    <row r="84" spans="1:41" s="1" customFormat="1" ht="15.75" x14ac:dyDescent="0.25">
      <c r="A84" s="343" t="s">
        <v>112</v>
      </c>
      <c r="B84" s="37" t="s">
        <v>623</v>
      </c>
      <c r="C84" s="27" t="s">
        <v>14</v>
      </c>
      <c r="D84" s="539">
        <v>1</v>
      </c>
      <c r="E84" s="345">
        <v>60000</v>
      </c>
      <c r="F84" s="345">
        <f t="shared" si="5"/>
        <v>60000</v>
      </c>
    </row>
    <row r="85" spans="1:41" s="1" customFormat="1" ht="15.75" x14ac:dyDescent="0.25">
      <c r="A85" s="343" t="s">
        <v>113</v>
      </c>
      <c r="B85" s="342" t="s">
        <v>635</v>
      </c>
      <c r="C85" s="343" t="s">
        <v>625</v>
      </c>
      <c r="D85" s="538">
        <v>1</v>
      </c>
      <c r="E85" s="16">
        <v>150000</v>
      </c>
      <c r="F85" s="16">
        <f t="shared" si="5"/>
        <v>150000</v>
      </c>
    </row>
    <row r="86" spans="1:41" s="1" customFormat="1" ht="15.75" x14ac:dyDescent="0.25">
      <c r="A86" s="343" t="s">
        <v>114</v>
      </c>
      <c r="B86" s="347" t="s">
        <v>634</v>
      </c>
      <c r="C86" s="348" t="s">
        <v>625</v>
      </c>
      <c r="D86" s="540">
        <v>1</v>
      </c>
      <c r="E86" s="345">
        <v>450000</v>
      </c>
      <c r="F86" s="345">
        <f t="shared" si="5"/>
        <v>450000</v>
      </c>
    </row>
    <row r="87" spans="1:41" s="1" customFormat="1" ht="15.75" x14ac:dyDescent="0.25">
      <c r="A87" s="343" t="s">
        <v>115</v>
      </c>
      <c r="B87" s="26" t="s">
        <v>637</v>
      </c>
      <c r="C87" s="27" t="s">
        <v>625</v>
      </c>
      <c r="D87" s="539">
        <v>1</v>
      </c>
      <c r="E87" s="345">
        <v>250000</v>
      </c>
      <c r="F87" s="345">
        <f t="shared" si="5"/>
        <v>250000</v>
      </c>
    </row>
    <row r="88" spans="1:41" s="36" customFormat="1" ht="15.75" x14ac:dyDescent="0.25">
      <c r="A88" s="358"/>
      <c r="B88" s="359" t="s">
        <v>860</v>
      </c>
      <c r="C88" s="360"/>
      <c r="D88" s="529"/>
      <c r="E88" s="362"/>
      <c r="F88" s="363">
        <f>SUM(F77:F87)*2</f>
        <v>3294260.3339036037</v>
      </c>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s="36" customFormat="1" ht="15.75" x14ac:dyDescent="0.25">
      <c r="A89" s="130"/>
      <c r="B89" s="96" t="s">
        <v>858</v>
      </c>
      <c r="C89" s="97"/>
      <c r="D89" s="530">
        <v>1</v>
      </c>
      <c r="E89" s="350"/>
      <c r="F89" s="131">
        <f>F88*D89</f>
        <v>3294260.3339036037</v>
      </c>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s="323" customFormat="1" ht="15.75" x14ac:dyDescent="0.25">
      <c r="A90" s="324"/>
      <c r="B90" s="325"/>
      <c r="C90" s="326"/>
      <c r="D90" s="327"/>
      <c r="E90" s="328"/>
      <c r="F90" s="329"/>
    </row>
    <row r="91" spans="1:41" s="1" customFormat="1" ht="15.75" x14ac:dyDescent="0.25">
      <c r="A91" s="112" t="s">
        <v>104</v>
      </c>
      <c r="B91" s="113" t="s">
        <v>640</v>
      </c>
      <c r="C91" s="22"/>
      <c r="D91" s="527"/>
      <c r="E91" s="24"/>
      <c r="F91" s="114"/>
    </row>
    <row r="92" spans="1:41" s="1" customFormat="1" ht="18.75" x14ac:dyDescent="0.25">
      <c r="A92" s="343" t="s">
        <v>105</v>
      </c>
      <c r="B92" s="26" t="s">
        <v>67</v>
      </c>
      <c r="C92" s="27" t="s">
        <v>195</v>
      </c>
      <c r="D92" s="533">
        <v>51.45</v>
      </c>
      <c r="E92" s="345">
        <v>2000</v>
      </c>
      <c r="F92" s="345">
        <f t="shared" ref="F92:F102" si="6">+D92*E92</f>
        <v>102900</v>
      </c>
    </row>
    <row r="93" spans="1:41" s="1" customFormat="1" ht="18.75" x14ac:dyDescent="0.25">
      <c r="A93" s="343" t="s">
        <v>106</v>
      </c>
      <c r="B93" s="26" t="s">
        <v>617</v>
      </c>
      <c r="C93" s="27" t="s">
        <v>194</v>
      </c>
      <c r="D93" s="536">
        <v>73.072540000000004</v>
      </c>
      <c r="E93" s="345">
        <v>2500</v>
      </c>
      <c r="F93" s="345">
        <f t="shared" si="6"/>
        <v>182681.35</v>
      </c>
    </row>
    <row r="94" spans="1:41" s="1" customFormat="1" ht="18.75" x14ac:dyDescent="0.25">
      <c r="A94" s="343" t="s">
        <v>107</v>
      </c>
      <c r="B94" s="26" t="s">
        <v>619</v>
      </c>
      <c r="C94" s="27" t="s">
        <v>194</v>
      </c>
      <c r="D94" s="536">
        <v>17.534851232290226</v>
      </c>
      <c r="E94" s="345">
        <v>2500</v>
      </c>
      <c r="F94" s="345">
        <f t="shared" si="6"/>
        <v>43837.128080725568</v>
      </c>
    </row>
    <row r="95" spans="1:41" s="1" customFormat="1" ht="18.75" x14ac:dyDescent="0.25">
      <c r="A95" s="343" t="s">
        <v>108</v>
      </c>
      <c r="B95" s="26" t="s">
        <v>620</v>
      </c>
      <c r="C95" s="27" t="s">
        <v>194</v>
      </c>
      <c r="D95" s="536">
        <v>73.072540000000004</v>
      </c>
      <c r="E95" s="345">
        <v>10000</v>
      </c>
      <c r="F95" s="345">
        <f t="shared" si="6"/>
        <v>730725.4</v>
      </c>
    </row>
    <row r="96" spans="1:41" s="1" customFormat="1" ht="18.75" x14ac:dyDescent="0.25">
      <c r="A96" s="343" t="s">
        <v>109</v>
      </c>
      <c r="B96" s="26" t="s">
        <v>622</v>
      </c>
      <c r="C96" s="27" t="s">
        <v>194</v>
      </c>
      <c r="D96" s="536">
        <v>2.4500000000000002</v>
      </c>
      <c r="E96" s="345">
        <v>2500</v>
      </c>
      <c r="F96" s="345">
        <f t="shared" si="6"/>
        <v>6125</v>
      </c>
    </row>
    <row r="97" spans="1:41" s="1" customFormat="1" ht="18.75" x14ac:dyDescent="0.25">
      <c r="A97" s="343" t="s">
        <v>110</v>
      </c>
      <c r="B97" s="346" t="s">
        <v>621</v>
      </c>
      <c r="C97" s="27" t="s">
        <v>194</v>
      </c>
      <c r="D97" s="536">
        <v>12.07</v>
      </c>
      <c r="E97" s="345">
        <v>2500</v>
      </c>
      <c r="F97" s="345">
        <f t="shared" si="6"/>
        <v>30175</v>
      </c>
    </row>
    <row r="98" spans="1:41" s="1" customFormat="1" ht="18.75" x14ac:dyDescent="0.25">
      <c r="A98" s="343" t="s">
        <v>111</v>
      </c>
      <c r="B98" s="61" t="s">
        <v>22</v>
      </c>
      <c r="C98" s="27" t="s">
        <v>194</v>
      </c>
      <c r="D98" s="536">
        <v>36.413682733661624</v>
      </c>
      <c r="E98" s="345">
        <v>6000</v>
      </c>
      <c r="F98" s="345">
        <f t="shared" si="6"/>
        <v>218482.09640196973</v>
      </c>
    </row>
    <row r="99" spans="1:41" s="1" customFormat="1" ht="15.75" x14ac:dyDescent="0.25">
      <c r="A99" s="343" t="s">
        <v>112</v>
      </c>
      <c r="B99" s="37" t="s">
        <v>623</v>
      </c>
      <c r="C99" s="27" t="s">
        <v>14</v>
      </c>
      <c r="D99" s="536">
        <v>1</v>
      </c>
      <c r="E99" s="345">
        <v>60000</v>
      </c>
      <c r="F99" s="345">
        <f t="shared" si="6"/>
        <v>60000</v>
      </c>
    </row>
    <row r="100" spans="1:41" s="1" customFormat="1" ht="15.75" x14ac:dyDescent="0.25">
      <c r="A100" s="343" t="s">
        <v>113</v>
      </c>
      <c r="B100" s="342" t="s">
        <v>635</v>
      </c>
      <c r="C100" s="343" t="s">
        <v>625</v>
      </c>
      <c r="D100" s="532">
        <v>1</v>
      </c>
      <c r="E100" s="16">
        <v>150000</v>
      </c>
      <c r="F100" s="16">
        <f t="shared" si="6"/>
        <v>150000</v>
      </c>
    </row>
    <row r="101" spans="1:41" s="1" customFormat="1" ht="15.75" x14ac:dyDescent="0.25">
      <c r="A101" s="343" t="s">
        <v>114</v>
      </c>
      <c r="B101" s="347" t="s">
        <v>634</v>
      </c>
      <c r="C101" s="348" t="s">
        <v>625</v>
      </c>
      <c r="D101" s="535">
        <v>1</v>
      </c>
      <c r="E101" s="345">
        <v>450000</v>
      </c>
      <c r="F101" s="345">
        <f t="shared" si="6"/>
        <v>450000</v>
      </c>
    </row>
    <row r="102" spans="1:41" s="1" customFormat="1" ht="15.75" x14ac:dyDescent="0.25">
      <c r="A102" s="343" t="s">
        <v>115</v>
      </c>
      <c r="B102" s="26" t="s">
        <v>637</v>
      </c>
      <c r="C102" s="27" t="s">
        <v>625</v>
      </c>
      <c r="D102" s="534">
        <v>1</v>
      </c>
      <c r="E102" s="345">
        <v>250000</v>
      </c>
      <c r="F102" s="345">
        <f t="shared" si="6"/>
        <v>250000</v>
      </c>
    </row>
    <row r="103" spans="1:41" s="36" customFormat="1" ht="15.75" x14ac:dyDescent="0.25">
      <c r="A103" s="358"/>
      <c r="B103" s="359" t="s">
        <v>860</v>
      </c>
      <c r="C103" s="360"/>
      <c r="D103" s="529"/>
      <c r="E103" s="362"/>
      <c r="F103" s="363">
        <f>SUM(F92:F102)*2</f>
        <v>4449851.9489653911</v>
      </c>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row>
    <row r="104" spans="1:41" s="36" customFormat="1" ht="15.75" x14ac:dyDescent="0.25">
      <c r="A104" s="130"/>
      <c r="B104" s="96" t="s">
        <v>859</v>
      </c>
      <c r="C104" s="97"/>
      <c r="D104" s="530">
        <v>1</v>
      </c>
      <c r="E104" s="350"/>
      <c r="F104" s="131">
        <f>F103*D104</f>
        <v>4449851.9489653911</v>
      </c>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row>
    <row r="106" spans="1:41" s="1" customFormat="1" ht="15.75" x14ac:dyDescent="0.25">
      <c r="A106" s="112" t="s">
        <v>104</v>
      </c>
      <c r="B106" s="113" t="s">
        <v>929</v>
      </c>
      <c r="C106" s="22"/>
      <c r="D106" s="527"/>
      <c r="E106" s="24"/>
      <c r="F106" s="114"/>
    </row>
    <row r="107" spans="1:41" ht="15.75" x14ac:dyDescent="0.25">
      <c r="A107" s="343" t="s">
        <v>105</v>
      </c>
      <c r="B107" s="347" t="s">
        <v>626</v>
      </c>
      <c r="C107" s="336" t="s">
        <v>627</v>
      </c>
      <c r="D107" s="337">
        <v>4</v>
      </c>
      <c r="E107" s="338">
        <v>2500</v>
      </c>
      <c r="F107" s="338">
        <f t="shared" ref="F107:F111" si="7">+D107*E107</f>
        <v>10000</v>
      </c>
      <c r="G107" s="334"/>
    </row>
    <row r="108" spans="1:41" ht="15.75" x14ac:dyDescent="0.25">
      <c r="A108" s="343" t="s">
        <v>106</v>
      </c>
      <c r="B108" s="347" t="s">
        <v>628</v>
      </c>
      <c r="C108" s="339" t="s">
        <v>618</v>
      </c>
      <c r="D108" s="340">
        <v>5.07</v>
      </c>
      <c r="E108" s="341">
        <v>10000</v>
      </c>
      <c r="F108" s="341">
        <f t="shared" si="7"/>
        <v>50700</v>
      </c>
      <c r="G108" s="334"/>
    </row>
    <row r="109" spans="1:41" ht="15.75" x14ac:dyDescent="0.25">
      <c r="A109" s="343" t="s">
        <v>107</v>
      </c>
      <c r="B109" s="347" t="s">
        <v>629</v>
      </c>
      <c r="C109" s="339" t="s">
        <v>625</v>
      </c>
      <c r="D109" s="340">
        <v>1</v>
      </c>
      <c r="E109" s="341">
        <v>250000</v>
      </c>
      <c r="F109" s="341">
        <f t="shared" si="7"/>
        <v>250000</v>
      </c>
      <c r="G109" s="334"/>
    </row>
    <row r="110" spans="1:41" ht="15.75" x14ac:dyDescent="0.25">
      <c r="A110" s="343" t="s">
        <v>108</v>
      </c>
      <c r="B110" s="347" t="s">
        <v>74</v>
      </c>
      <c r="C110" s="339" t="s">
        <v>14</v>
      </c>
      <c r="D110" s="340">
        <v>1</v>
      </c>
      <c r="E110" s="341">
        <v>50000</v>
      </c>
      <c r="F110" s="341">
        <f t="shared" si="7"/>
        <v>50000</v>
      </c>
      <c r="G110" s="334"/>
    </row>
    <row r="111" spans="1:41" ht="15.75" x14ac:dyDescent="0.25">
      <c r="A111" s="343" t="s">
        <v>109</v>
      </c>
      <c r="B111" s="347" t="s">
        <v>630</v>
      </c>
      <c r="C111" s="339" t="s">
        <v>625</v>
      </c>
      <c r="D111" s="340">
        <v>1</v>
      </c>
      <c r="E111" s="341">
        <v>100000</v>
      </c>
      <c r="F111" s="341">
        <f t="shared" si="7"/>
        <v>100000</v>
      </c>
      <c r="G111" s="334"/>
    </row>
    <row r="112" spans="1:41" s="36" customFormat="1" ht="15.75" x14ac:dyDescent="0.25">
      <c r="A112" s="358"/>
      <c r="B112" s="359" t="s">
        <v>860</v>
      </c>
      <c r="C112" s="360"/>
      <c r="D112" s="529"/>
      <c r="E112" s="362"/>
      <c r="F112" s="363">
        <f>SUM(F107:F111)</f>
        <v>460700</v>
      </c>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spans="1:41" s="36" customFormat="1" ht="15.75" x14ac:dyDescent="0.25">
      <c r="A113" s="130"/>
      <c r="B113" s="96" t="s">
        <v>930</v>
      </c>
      <c r="C113" s="97"/>
      <c r="D113" s="530">
        <v>1</v>
      </c>
      <c r="E113" s="350"/>
      <c r="F113" s="131">
        <f>F112*D113</f>
        <v>460700</v>
      </c>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QD39"/>
  <sheetViews>
    <sheetView workbookViewId="0">
      <selection activeCell="B30" sqref="B30"/>
    </sheetView>
  </sheetViews>
  <sheetFormatPr defaultColWidth="8.85546875" defaultRowHeight="15" x14ac:dyDescent="0.25"/>
  <cols>
    <col min="1" max="1" width="9.85546875" customWidth="1"/>
    <col min="2" max="2" width="135.28515625" bestFit="1" customWidth="1"/>
    <col min="3" max="3" width="16" customWidth="1"/>
    <col min="4" max="4" width="10.140625" customWidth="1"/>
    <col min="5" max="5" width="15.42578125" customWidth="1"/>
    <col min="6" max="6" width="23.5703125" customWidth="1"/>
  </cols>
  <sheetData>
    <row r="2" spans="1:6" s="1" customFormat="1" ht="15.75" x14ac:dyDescent="0.25">
      <c r="A2" s="84"/>
      <c r="B2" s="57"/>
      <c r="C2" s="85"/>
      <c r="D2" s="86"/>
      <c r="E2" s="87"/>
      <c r="F2" s="88"/>
    </row>
    <row r="3" spans="1:6" s="1" customFormat="1" ht="15.75" x14ac:dyDescent="0.25">
      <c r="A3" s="541" t="s">
        <v>104</v>
      </c>
      <c r="B3" s="542" t="s">
        <v>861</v>
      </c>
      <c r="C3" s="89"/>
      <c r="D3" s="90"/>
      <c r="E3" s="91"/>
      <c r="F3" s="30"/>
    </row>
    <row r="4" spans="1:6" s="35" customFormat="1" ht="15.75" x14ac:dyDescent="0.25">
      <c r="A4" s="92" t="s">
        <v>105</v>
      </c>
      <c r="B4" s="543" t="s">
        <v>67</v>
      </c>
      <c r="C4" s="89" t="s">
        <v>71</v>
      </c>
      <c r="D4" s="90">
        <v>12.48</v>
      </c>
      <c r="E4" s="29">
        <v>2500</v>
      </c>
      <c r="F4" s="30">
        <f t="shared" ref="F4:F16" si="0">D4*E4</f>
        <v>31200</v>
      </c>
    </row>
    <row r="5" spans="1:6" s="1" customFormat="1" ht="15.75" x14ac:dyDescent="0.25">
      <c r="A5" s="92" t="s">
        <v>106</v>
      </c>
      <c r="B5" s="93" t="s">
        <v>862</v>
      </c>
      <c r="C5" s="89" t="s">
        <v>71</v>
      </c>
      <c r="D5" s="90">
        <v>2.5739999999999998</v>
      </c>
      <c r="E5" s="29">
        <v>55000</v>
      </c>
      <c r="F5" s="30">
        <f t="shared" si="0"/>
        <v>141570</v>
      </c>
    </row>
    <row r="6" spans="1:6" s="1" customFormat="1" ht="15.75" x14ac:dyDescent="0.25">
      <c r="A6" s="92" t="s">
        <v>107</v>
      </c>
      <c r="B6" s="94" t="s">
        <v>863</v>
      </c>
      <c r="C6" s="89" t="s">
        <v>71</v>
      </c>
      <c r="D6" s="90">
        <v>0.42900000000000005</v>
      </c>
      <c r="E6" s="29">
        <v>90000</v>
      </c>
      <c r="F6" s="30">
        <f t="shared" si="0"/>
        <v>38610.000000000007</v>
      </c>
    </row>
    <row r="7" spans="1:6" s="1" customFormat="1" ht="15.75" x14ac:dyDescent="0.25">
      <c r="A7" s="92" t="s">
        <v>108</v>
      </c>
      <c r="B7" s="543" t="s">
        <v>29</v>
      </c>
      <c r="C7" s="89" t="s">
        <v>71</v>
      </c>
      <c r="D7" s="90">
        <v>1.3530000000000004</v>
      </c>
      <c r="E7" s="29">
        <v>400000</v>
      </c>
      <c r="F7" s="30">
        <f t="shared" si="0"/>
        <v>541200.00000000012</v>
      </c>
    </row>
    <row r="8" spans="1:6" s="1" customFormat="1" ht="15.75" x14ac:dyDescent="0.25">
      <c r="A8" s="92" t="s">
        <v>109</v>
      </c>
      <c r="B8" s="94" t="s">
        <v>864</v>
      </c>
      <c r="C8" s="89" t="s">
        <v>71</v>
      </c>
      <c r="D8" s="90">
        <v>0.79999999999999993</v>
      </c>
      <c r="E8" s="29">
        <v>350000</v>
      </c>
      <c r="F8" s="30">
        <f t="shared" si="0"/>
        <v>280000</v>
      </c>
    </row>
    <row r="9" spans="1:6" s="1" customFormat="1" ht="15.75" x14ac:dyDescent="0.25">
      <c r="A9" s="92" t="s">
        <v>110</v>
      </c>
      <c r="B9" s="94" t="s">
        <v>31</v>
      </c>
      <c r="C9" s="89" t="s">
        <v>71</v>
      </c>
      <c r="D9" s="90">
        <v>2.7359999999999998</v>
      </c>
      <c r="E9" s="29">
        <v>70000</v>
      </c>
      <c r="F9" s="30">
        <f t="shared" si="0"/>
        <v>191519.99999999997</v>
      </c>
    </row>
    <row r="10" spans="1:6" s="1" customFormat="1" ht="15.75" x14ac:dyDescent="0.25">
      <c r="A10" s="92" t="s">
        <v>111</v>
      </c>
      <c r="B10" s="94" t="s">
        <v>21</v>
      </c>
      <c r="C10" s="89" t="s">
        <v>72</v>
      </c>
      <c r="D10" s="90">
        <v>6.6700000000000008</v>
      </c>
      <c r="E10" s="29">
        <v>5000</v>
      </c>
      <c r="F10" s="30">
        <f t="shared" si="0"/>
        <v>33350.000000000007</v>
      </c>
    </row>
    <row r="11" spans="1:6" s="1" customFormat="1" ht="15.75" x14ac:dyDescent="0.25">
      <c r="A11" s="92" t="s">
        <v>112</v>
      </c>
      <c r="B11" s="93" t="s">
        <v>32</v>
      </c>
      <c r="C11" s="89" t="s">
        <v>72</v>
      </c>
      <c r="D11" s="90">
        <v>6.76</v>
      </c>
      <c r="E11" s="29">
        <v>3800</v>
      </c>
      <c r="F11" s="30">
        <f t="shared" si="0"/>
        <v>25688</v>
      </c>
    </row>
    <row r="12" spans="1:6" s="1" customFormat="1" ht="15.75" x14ac:dyDescent="0.25">
      <c r="A12" s="92" t="s">
        <v>113</v>
      </c>
      <c r="B12" s="94" t="s">
        <v>865</v>
      </c>
      <c r="C12" s="89" t="s">
        <v>72</v>
      </c>
      <c r="D12" s="90">
        <v>6.6700000000000008</v>
      </c>
      <c r="E12" s="29">
        <v>10000</v>
      </c>
      <c r="F12" s="30">
        <f t="shared" si="0"/>
        <v>66700.000000000015</v>
      </c>
    </row>
    <row r="13" spans="1:6" s="1" customFormat="1" ht="15.75" x14ac:dyDescent="0.25">
      <c r="A13" s="92" t="s">
        <v>114</v>
      </c>
      <c r="B13" s="94" t="s">
        <v>866</v>
      </c>
      <c r="C13" s="89" t="s">
        <v>72</v>
      </c>
      <c r="D13" s="90">
        <v>7.6399999999999988</v>
      </c>
      <c r="E13" s="29">
        <v>3800</v>
      </c>
      <c r="F13" s="30">
        <f t="shared" si="0"/>
        <v>29031.999999999996</v>
      </c>
    </row>
    <row r="14" spans="1:6" s="1" customFormat="1" ht="15.75" x14ac:dyDescent="0.25">
      <c r="A14" s="92" t="s">
        <v>115</v>
      </c>
      <c r="B14" s="93" t="s">
        <v>27</v>
      </c>
      <c r="C14" s="89" t="s">
        <v>72</v>
      </c>
      <c r="D14" s="90">
        <v>2.04</v>
      </c>
      <c r="E14" s="29">
        <v>5000</v>
      </c>
      <c r="F14" s="30">
        <f t="shared" si="0"/>
        <v>10200</v>
      </c>
    </row>
    <row r="15" spans="1:6" s="1" customFormat="1" ht="15.75" x14ac:dyDescent="0.25">
      <c r="A15" s="92" t="s">
        <v>116</v>
      </c>
      <c r="B15" s="79" t="s">
        <v>867</v>
      </c>
      <c r="C15" s="85" t="s">
        <v>14</v>
      </c>
      <c r="D15" s="86">
        <v>1</v>
      </c>
      <c r="E15" s="29">
        <v>80000</v>
      </c>
      <c r="F15" s="30">
        <f t="shared" si="0"/>
        <v>80000</v>
      </c>
    </row>
    <row r="16" spans="1:6" s="1" customFormat="1" ht="15.75" x14ac:dyDescent="0.25">
      <c r="A16" s="92" t="s">
        <v>117</v>
      </c>
      <c r="B16" s="93" t="s">
        <v>868</v>
      </c>
      <c r="C16" s="89" t="s">
        <v>11</v>
      </c>
      <c r="D16" s="133">
        <v>1.25</v>
      </c>
      <c r="E16" s="29">
        <v>20000</v>
      </c>
      <c r="F16" s="544">
        <f t="shared" si="0"/>
        <v>25000</v>
      </c>
    </row>
    <row r="17" spans="1:446" s="2" customFormat="1" ht="15.75" x14ac:dyDescent="0.25">
      <c r="A17" s="92" t="s">
        <v>132</v>
      </c>
      <c r="B17" s="93" t="s">
        <v>869</v>
      </c>
      <c r="C17" s="53" t="s">
        <v>190</v>
      </c>
      <c r="D17" s="54">
        <v>1</v>
      </c>
      <c r="E17" s="545">
        <v>500000</v>
      </c>
      <c r="F17" s="30">
        <f>E17*D17</f>
        <v>500000</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row>
    <row r="18" spans="1:446" s="1" customFormat="1" ht="15.75" x14ac:dyDescent="0.25">
      <c r="A18" s="352"/>
      <c r="B18" s="353" t="s">
        <v>30</v>
      </c>
      <c r="C18" s="354"/>
      <c r="D18" s="355"/>
      <c r="E18" s="356"/>
      <c r="F18" s="357">
        <f>SUM(F4:F17)</f>
        <v>1994070</v>
      </c>
    </row>
    <row r="19" spans="1:446" s="36" customFormat="1" ht="15.75" x14ac:dyDescent="0.25">
      <c r="A19" s="358"/>
      <c r="B19" s="359" t="s">
        <v>870</v>
      </c>
      <c r="C19" s="360"/>
      <c r="D19" s="361" t="s">
        <v>642</v>
      </c>
      <c r="E19" s="362">
        <v>3</v>
      </c>
      <c r="F19" s="363">
        <f>F18*E19</f>
        <v>5982210</v>
      </c>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446" s="2" customFormat="1" ht="15.75" x14ac:dyDescent="0.25">
      <c r="A20" s="51"/>
      <c r="B20" s="52"/>
      <c r="C20" s="53"/>
      <c r="D20" s="546"/>
      <c r="E20" s="206"/>
      <c r="F20" s="30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row>
    <row r="21" spans="1:446" s="213" customFormat="1" ht="22.5" customHeight="1" x14ac:dyDescent="0.25">
      <c r="A21" s="541" t="s">
        <v>166</v>
      </c>
      <c r="B21" s="542" t="s">
        <v>871</v>
      </c>
      <c r="C21" s="547"/>
      <c r="D21" s="548"/>
      <c r="E21" s="549"/>
      <c r="F21" s="550"/>
    </row>
    <row r="22" spans="1:446" s="213" customFormat="1" ht="12.75" x14ac:dyDescent="0.25">
      <c r="A22" s="551"/>
      <c r="B22" s="552"/>
      <c r="C22" s="553"/>
      <c r="D22" s="554"/>
      <c r="E22" s="555"/>
      <c r="F22" s="556"/>
    </row>
    <row r="23" spans="1:446" s="213" customFormat="1" ht="15.75" x14ac:dyDescent="0.25">
      <c r="A23" s="92" t="s">
        <v>167</v>
      </c>
      <c r="B23" s="93" t="s">
        <v>67</v>
      </c>
      <c r="C23" s="89" t="s">
        <v>872</v>
      </c>
      <c r="D23" s="90">
        <f xml:space="preserve"> (1+2.1)*(1+1.8)*1*1.05</f>
        <v>9.1140000000000008</v>
      </c>
      <c r="E23" s="29">
        <v>2000</v>
      </c>
      <c r="F23" s="30">
        <f t="shared" ref="F23:F35" si="1">D23*E23</f>
        <v>18228</v>
      </c>
    </row>
    <row r="24" spans="1:446" s="213" customFormat="1" ht="15.75" x14ac:dyDescent="0.25">
      <c r="A24" s="92" t="s">
        <v>168</v>
      </c>
      <c r="B24" s="93" t="s">
        <v>862</v>
      </c>
      <c r="C24" s="89" t="s">
        <v>872</v>
      </c>
      <c r="D24" s="90">
        <f xml:space="preserve"> (0.4+2.1)*(0.4+1.8)*0.3*1.05</f>
        <v>1.7324999999999999</v>
      </c>
      <c r="E24" s="29">
        <v>30000</v>
      </c>
      <c r="F24" s="30">
        <f t="shared" si="1"/>
        <v>51975</v>
      </c>
    </row>
    <row r="25" spans="1:446" s="213" customFormat="1" ht="15.75" x14ac:dyDescent="0.25">
      <c r="A25" s="92" t="s">
        <v>169</v>
      </c>
      <c r="B25" s="93" t="s">
        <v>863</v>
      </c>
      <c r="C25" s="89" t="s">
        <v>872</v>
      </c>
      <c r="D25" s="90">
        <f xml:space="preserve"> (0.4+1.8)*(0.4+2.1)*0.05*1.05</f>
        <v>0.28875000000000006</v>
      </c>
      <c r="E25" s="29">
        <v>130000</v>
      </c>
      <c r="F25" s="30">
        <f t="shared" si="1"/>
        <v>37537.500000000007</v>
      </c>
    </row>
    <row r="26" spans="1:446" s="213" customFormat="1" ht="15.75" x14ac:dyDescent="0.25">
      <c r="A26" s="92" t="s">
        <v>170</v>
      </c>
      <c r="B26" s="93" t="s">
        <v>29</v>
      </c>
      <c r="C26" s="89" t="s">
        <v>872</v>
      </c>
      <c r="D26" s="90">
        <f xml:space="preserve"> (0.3+1.8)*(0.3+2.1)*0.2*1.05</f>
        <v>1.0584</v>
      </c>
      <c r="E26" s="29">
        <v>400000</v>
      </c>
      <c r="F26" s="30">
        <f t="shared" si="1"/>
        <v>423360</v>
      </c>
    </row>
    <row r="27" spans="1:446" s="213" customFormat="1" ht="15.75" x14ac:dyDescent="0.25">
      <c r="A27" s="92" t="s">
        <v>171</v>
      </c>
      <c r="B27" s="93" t="s">
        <v>864</v>
      </c>
      <c r="C27" s="89" t="s">
        <v>872</v>
      </c>
      <c r="D27" s="90">
        <f xml:space="preserve"> (0.3+1.8)*(0.3+2.1)*0.2*1.05</f>
        <v>1.0584</v>
      </c>
      <c r="E27" s="29">
        <v>400000</v>
      </c>
      <c r="F27" s="30">
        <f t="shared" si="1"/>
        <v>423360</v>
      </c>
    </row>
    <row r="28" spans="1:446" s="213" customFormat="1" ht="15.75" x14ac:dyDescent="0.25">
      <c r="A28" s="92" t="s">
        <v>172</v>
      </c>
      <c r="B28" s="93" t="s">
        <v>873</v>
      </c>
      <c r="C28" s="89" t="s">
        <v>872</v>
      </c>
      <c r="D28" s="90">
        <f>2*0.2*1.5*(1.8+2.1+(2*0.2))*1.05</f>
        <v>2.709000000000001</v>
      </c>
      <c r="E28" s="29">
        <v>90000</v>
      </c>
      <c r="F28" s="30">
        <f t="shared" si="1"/>
        <v>243810.00000000009</v>
      </c>
    </row>
    <row r="29" spans="1:446" s="213" customFormat="1" ht="15.75" x14ac:dyDescent="0.25">
      <c r="A29" s="92" t="s">
        <v>173</v>
      </c>
      <c r="B29" s="93" t="s">
        <v>874</v>
      </c>
      <c r="C29" s="89" t="s">
        <v>875</v>
      </c>
      <c r="D29" s="90">
        <f>2*1.5*(1.8+2.1)*1.05</f>
        <v>12.285000000000002</v>
      </c>
      <c r="E29" s="29">
        <v>5000</v>
      </c>
      <c r="F29" s="30">
        <f t="shared" si="1"/>
        <v>61425.000000000007</v>
      </c>
    </row>
    <row r="30" spans="1:446" s="213" customFormat="1" ht="15.75" x14ac:dyDescent="0.25">
      <c r="A30" s="92" t="s">
        <v>174</v>
      </c>
      <c r="B30" s="93" t="s">
        <v>876</v>
      </c>
      <c r="C30" s="89" t="s">
        <v>875</v>
      </c>
      <c r="D30" s="90">
        <f>2*1.5*(1.8+2.1)*1.05</f>
        <v>12.285000000000002</v>
      </c>
      <c r="E30" s="29">
        <v>3800</v>
      </c>
      <c r="F30" s="30">
        <f t="shared" si="1"/>
        <v>46683.000000000007</v>
      </c>
    </row>
    <row r="31" spans="1:446" s="213" customFormat="1" ht="15.75" x14ac:dyDescent="0.25">
      <c r="A31" s="92" t="s">
        <v>175</v>
      </c>
      <c r="B31" s="93" t="s">
        <v>877</v>
      </c>
      <c r="C31" s="89" t="s">
        <v>875</v>
      </c>
      <c r="D31" s="90">
        <f>((2*1.8*2.1)+(2*1.2*(1.8+2.1)))*1.05</f>
        <v>17.766000000000002</v>
      </c>
      <c r="E31" s="29">
        <v>10000</v>
      </c>
      <c r="F31" s="30">
        <f t="shared" si="1"/>
        <v>177660.00000000003</v>
      </c>
    </row>
    <row r="32" spans="1:446" s="213" customFormat="1" ht="15.75" x14ac:dyDescent="0.25">
      <c r="A32" s="92" t="s">
        <v>176</v>
      </c>
      <c r="B32" s="93" t="s">
        <v>866</v>
      </c>
      <c r="C32" s="89" t="s">
        <v>875</v>
      </c>
      <c r="D32" s="90">
        <f>((2.5*2.2)+(2*2.5*(0.2+0.1))+(2*2.2*(0.2+0.1)))*1.05</f>
        <v>8.7360000000000007</v>
      </c>
      <c r="E32" s="29">
        <v>3800</v>
      </c>
      <c r="F32" s="30">
        <f t="shared" si="1"/>
        <v>33196.800000000003</v>
      </c>
    </row>
    <row r="33" spans="1:41" s="213" customFormat="1" ht="15.75" x14ac:dyDescent="0.25">
      <c r="A33" s="92" t="s">
        <v>177</v>
      </c>
      <c r="B33" s="93" t="s">
        <v>27</v>
      </c>
      <c r="C33" s="89" t="s">
        <v>875</v>
      </c>
      <c r="D33" s="90">
        <f>2*(2.5+2.2)*0.2*1.05</f>
        <v>1.9740000000000002</v>
      </c>
      <c r="E33" s="29">
        <v>3000</v>
      </c>
      <c r="F33" s="30">
        <f t="shared" si="1"/>
        <v>5922.0000000000009</v>
      </c>
    </row>
    <row r="34" spans="1:41" s="213" customFormat="1" ht="15.75" x14ac:dyDescent="0.25">
      <c r="A34" s="92" t="s">
        <v>504</v>
      </c>
      <c r="B34" s="93" t="s">
        <v>867</v>
      </c>
      <c r="C34" s="89" t="s">
        <v>14</v>
      </c>
      <c r="D34" s="90">
        <v>1</v>
      </c>
      <c r="E34" s="29">
        <v>70000</v>
      </c>
      <c r="F34" s="30">
        <f t="shared" si="1"/>
        <v>70000</v>
      </c>
    </row>
    <row r="35" spans="1:41" s="213" customFormat="1" ht="15.75" x14ac:dyDescent="0.25">
      <c r="A35" s="92" t="s">
        <v>505</v>
      </c>
      <c r="B35" s="93" t="s">
        <v>878</v>
      </c>
      <c r="C35" s="89" t="s">
        <v>11</v>
      </c>
      <c r="D35" s="90">
        <v>1.6</v>
      </c>
      <c r="E35" s="29">
        <v>5000</v>
      </c>
      <c r="F35" s="30">
        <f t="shared" si="1"/>
        <v>8000</v>
      </c>
    </row>
    <row r="36" spans="1:41" s="213" customFormat="1" ht="15.75" x14ac:dyDescent="0.25">
      <c r="A36" s="92" t="s">
        <v>506</v>
      </c>
      <c r="B36" s="93" t="s">
        <v>879</v>
      </c>
      <c r="C36" s="89" t="s">
        <v>190</v>
      </c>
      <c r="D36" s="90">
        <v>1</v>
      </c>
      <c r="E36" s="29">
        <v>400000</v>
      </c>
      <c r="F36" s="30">
        <f>E36*D36</f>
        <v>400000</v>
      </c>
    </row>
    <row r="37" spans="1:41" s="213" customFormat="1" ht="15.75" x14ac:dyDescent="0.25">
      <c r="A37" s="92" t="s">
        <v>507</v>
      </c>
      <c r="B37" s="93" t="s">
        <v>880</v>
      </c>
      <c r="C37" s="89" t="s">
        <v>278</v>
      </c>
      <c r="D37" s="90">
        <v>1</v>
      </c>
      <c r="E37" s="29">
        <v>150000</v>
      </c>
      <c r="F37" s="30">
        <f>E37*D37</f>
        <v>150000</v>
      </c>
    </row>
    <row r="38" spans="1:41" s="1" customFormat="1" ht="15.75" x14ac:dyDescent="0.25">
      <c r="A38" s="352"/>
      <c r="B38" s="353" t="s">
        <v>881</v>
      </c>
      <c r="C38" s="354"/>
      <c r="D38" s="355"/>
      <c r="E38" s="356"/>
      <c r="F38" s="357">
        <f>SUM(F23:F37)</f>
        <v>2151157.2999999998</v>
      </c>
    </row>
    <row r="39" spans="1:41" s="36" customFormat="1" ht="15.75" x14ac:dyDescent="0.25">
      <c r="A39" s="358"/>
      <c r="B39" s="359" t="s">
        <v>882</v>
      </c>
      <c r="C39" s="360"/>
      <c r="D39" s="361" t="s">
        <v>642</v>
      </c>
      <c r="E39" s="362">
        <v>1</v>
      </c>
      <c r="F39" s="363">
        <f>F38*E39</f>
        <v>2151157.2999999998</v>
      </c>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O45"/>
  <sheetViews>
    <sheetView zoomScale="70" zoomScaleNormal="70" workbookViewId="0">
      <selection activeCell="A296" sqref="A296:XFD311"/>
    </sheetView>
  </sheetViews>
  <sheetFormatPr defaultColWidth="8.85546875" defaultRowHeight="15" x14ac:dyDescent="0.25"/>
  <cols>
    <col min="1" max="1" width="8.42578125" customWidth="1"/>
    <col min="2" max="2" width="61.28515625" customWidth="1"/>
    <col min="3" max="3" width="7.28515625" bestFit="1" customWidth="1"/>
    <col min="4" max="4" width="10.42578125" bestFit="1" customWidth="1"/>
    <col min="5" max="5" width="14.7109375" bestFit="1" customWidth="1"/>
    <col min="6" max="6" width="14.7109375" customWidth="1"/>
    <col min="8" max="8" width="12.7109375" bestFit="1" customWidth="1"/>
    <col min="10" max="10" width="11.28515625" bestFit="1" customWidth="1"/>
    <col min="12" max="12" width="11.28515625" bestFit="1" customWidth="1"/>
    <col min="14" max="14" width="11.28515625" bestFit="1" customWidth="1"/>
  </cols>
  <sheetData>
    <row r="2" spans="1:6" s="559" customFormat="1" ht="15.75" x14ac:dyDescent="0.25">
      <c r="A2" s="557" t="s">
        <v>242</v>
      </c>
      <c r="B2" s="557" t="s">
        <v>883</v>
      </c>
      <c r="C2" s="552"/>
      <c r="D2" s="552"/>
      <c r="E2" s="552"/>
      <c r="F2" s="558"/>
    </row>
    <row r="3" spans="1:6" s="559" customFormat="1" ht="15.75" x14ac:dyDescent="0.25">
      <c r="A3" s="557" t="s">
        <v>243</v>
      </c>
      <c r="B3" s="557" t="s">
        <v>884</v>
      </c>
      <c r="C3" s="552"/>
      <c r="D3" s="552"/>
      <c r="E3" s="552"/>
      <c r="F3" s="558"/>
    </row>
    <row r="4" spans="1:6" s="559" customFormat="1" ht="18" x14ac:dyDescent="0.25">
      <c r="A4" s="552"/>
      <c r="B4" s="552" t="s">
        <v>885</v>
      </c>
      <c r="C4" s="552" t="s">
        <v>886</v>
      </c>
      <c r="D4" s="552">
        <f>(1+3.6)*(1+4.2)*1.2*1.05</f>
        <v>30.139199999999999</v>
      </c>
      <c r="E4" s="552">
        <v>2500</v>
      </c>
      <c r="F4" s="558">
        <f>D4*E4</f>
        <v>75348</v>
      </c>
    </row>
    <row r="5" spans="1:6" s="559" customFormat="1" ht="15.75" x14ac:dyDescent="0.25">
      <c r="A5" s="557" t="s">
        <v>244</v>
      </c>
      <c r="B5" s="557" t="s">
        <v>887</v>
      </c>
      <c r="C5" s="552"/>
      <c r="D5" s="552"/>
      <c r="E5" s="552"/>
      <c r="F5" s="558"/>
    </row>
    <row r="6" spans="1:6" s="559" customFormat="1" ht="18" x14ac:dyDescent="0.25">
      <c r="A6" s="552"/>
      <c r="B6" s="552" t="s">
        <v>888</v>
      </c>
      <c r="C6" s="552" t="s">
        <v>886</v>
      </c>
      <c r="D6" s="552">
        <f>(2*(3.6+4.2)+3.2+1.8)*0.4*1*1.05</f>
        <v>8.652000000000001</v>
      </c>
      <c r="E6" s="552">
        <v>2500</v>
      </c>
      <c r="F6" s="558">
        <f>D6*E6</f>
        <v>21630.000000000004</v>
      </c>
    </row>
    <row r="7" spans="1:6" s="559" customFormat="1" ht="18" x14ac:dyDescent="0.25">
      <c r="A7" s="552"/>
      <c r="B7" s="552" t="s">
        <v>545</v>
      </c>
      <c r="C7" s="552" t="s">
        <v>886</v>
      </c>
      <c r="D7" s="552">
        <f>20.6*0.5*0.06*1.05</f>
        <v>0.64890000000000003</v>
      </c>
      <c r="E7" s="552">
        <v>90000</v>
      </c>
      <c r="F7" s="558">
        <f>D7*E7</f>
        <v>58401</v>
      </c>
    </row>
    <row r="8" spans="1:6" s="559" customFormat="1" ht="18" x14ac:dyDescent="0.25">
      <c r="A8" s="552"/>
      <c r="B8" s="552" t="s">
        <v>889</v>
      </c>
      <c r="C8" s="552" t="s">
        <v>886</v>
      </c>
      <c r="D8" s="552">
        <f>20.6*0.4*1*1.05</f>
        <v>8.652000000000001</v>
      </c>
      <c r="E8" s="552">
        <v>80000</v>
      </c>
      <c r="F8" s="558">
        <f>D8*E8</f>
        <v>692160.00000000012</v>
      </c>
    </row>
    <row r="9" spans="1:6" s="559" customFormat="1" ht="18" x14ac:dyDescent="0.25">
      <c r="A9" s="552"/>
      <c r="B9" s="552" t="s">
        <v>890</v>
      </c>
      <c r="C9" s="552" t="s">
        <v>891</v>
      </c>
      <c r="D9" s="552">
        <f>20.6*0.5*1.05</f>
        <v>10.815000000000001</v>
      </c>
      <c r="E9" s="552">
        <v>5000</v>
      </c>
      <c r="F9" s="558">
        <f>D9*E9</f>
        <v>54075.000000000007</v>
      </c>
    </row>
    <row r="10" spans="1:6" s="559" customFormat="1" ht="15.75" x14ac:dyDescent="0.25">
      <c r="A10" s="552"/>
      <c r="B10" s="552" t="s">
        <v>892</v>
      </c>
      <c r="C10" s="552" t="s">
        <v>11</v>
      </c>
      <c r="D10" s="552">
        <f>20.6*0.2*1.05</f>
        <v>4.3260000000000005</v>
      </c>
      <c r="E10" s="552">
        <v>1000</v>
      </c>
      <c r="F10" s="558">
        <f>D10*E10</f>
        <v>4326.0000000000009</v>
      </c>
    </row>
    <row r="11" spans="1:6" s="559" customFormat="1" ht="15.75" x14ac:dyDescent="0.25">
      <c r="A11" s="557" t="s">
        <v>245</v>
      </c>
      <c r="B11" s="557" t="s">
        <v>893</v>
      </c>
      <c r="C11" s="552"/>
      <c r="D11" s="552"/>
      <c r="E11" s="552"/>
      <c r="F11" s="558"/>
    </row>
    <row r="12" spans="1:6" s="559" customFormat="1" ht="18" x14ac:dyDescent="0.25">
      <c r="A12" s="552"/>
      <c r="B12" s="552" t="s">
        <v>894</v>
      </c>
      <c r="C12" s="552" t="s">
        <v>886</v>
      </c>
      <c r="D12" s="552">
        <f>0.2*(3.6*2+1.8*3)*2.8-(+D15+D25*0.2*0.9*2.1+D26*2.1*0.9+D27*0.2*1.2*1.2)*1.05</f>
        <v>3.5009100000000006</v>
      </c>
      <c r="E12" s="552">
        <v>80000</v>
      </c>
      <c r="F12" s="558">
        <f>D12*E12</f>
        <v>280072.80000000005</v>
      </c>
    </row>
    <row r="13" spans="1:6" s="559" customFormat="1" ht="18" x14ac:dyDescent="0.25">
      <c r="A13" s="552"/>
      <c r="B13" s="552" t="s">
        <v>895</v>
      </c>
      <c r="C13" s="552" t="s">
        <v>891</v>
      </c>
      <c r="D13" s="552">
        <f>(0.2*0.2)*8*1.05</f>
        <v>0.33600000000000008</v>
      </c>
      <c r="E13" s="552">
        <v>21000</v>
      </c>
      <c r="F13" s="558">
        <f>D13*E13</f>
        <v>7056.0000000000018</v>
      </c>
    </row>
    <row r="14" spans="1:6" s="559" customFormat="1" ht="15.75" x14ac:dyDescent="0.25">
      <c r="A14" s="557" t="s">
        <v>246</v>
      </c>
      <c r="B14" s="557" t="s">
        <v>896</v>
      </c>
      <c r="C14" s="552"/>
      <c r="D14" s="552"/>
      <c r="E14" s="552"/>
      <c r="F14" s="558"/>
    </row>
    <row r="15" spans="1:6" s="559" customFormat="1" ht="18" x14ac:dyDescent="0.25">
      <c r="A15" s="552"/>
      <c r="B15" s="552" t="s">
        <v>513</v>
      </c>
      <c r="C15" s="552" t="s">
        <v>886</v>
      </c>
      <c r="D15" s="552">
        <f>(3.6*2+1.9*3)*0.2*0.2*1.05</f>
        <v>0.54180000000000006</v>
      </c>
      <c r="E15" s="552">
        <v>350000</v>
      </c>
      <c r="F15" s="558">
        <f>D15*E15</f>
        <v>189630.00000000003</v>
      </c>
    </row>
    <row r="16" spans="1:6" s="559" customFormat="1" ht="15.75" x14ac:dyDescent="0.25">
      <c r="A16" s="557" t="s">
        <v>247</v>
      </c>
      <c r="B16" s="557" t="s">
        <v>897</v>
      </c>
      <c r="C16" s="552"/>
      <c r="D16" s="552"/>
      <c r="E16" s="552"/>
      <c r="F16" s="558"/>
    </row>
    <row r="17" spans="1:6" s="559" customFormat="1" ht="15.75" x14ac:dyDescent="0.25">
      <c r="A17" s="552"/>
      <c r="B17" s="552" t="s">
        <v>898</v>
      </c>
      <c r="C17" s="552" t="s">
        <v>11</v>
      </c>
      <c r="D17" s="552">
        <v>18</v>
      </c>
      <c r="E17" s="552">
        <v>1500</v>
      </c>
      <c r="F17" s="558">
        <f>D17*E17</f>
        <v>27000</v>
      </c>
    </row>
    <row r="18" spans="1:6" s="559" customFormat="1" ht="15.75" x14ac:dyDescent="0.25">
      <c r="A18" s="552"/>
      <c r="B18" s="552" t="s">
        <v>899</v>
      </c>
      <c r="C18" s="552" t="s">
        <v>11</v>
      </c>
      <c r="D18" s="552">
        <v>27.599999999999998</v>
      </c>
      <c r="E18" s="552">
        <v>900</v>
      </c>
      <c r="F18" s="558">
        <f>D18*E18</f>
        <v>24839.999999999996</v>
      </c>
    </row>
    <row r="19" spans="1:6" s="559" customFormat="1" ht="15.75" x14ac:dyDescent="0.25">
      <c r="A19" s="552"/>
      <c r="B19" s="552" t="s">
        <v>900</v>
      </c>
      <c r="C19" s="552" t="s">
        <v>11</v>
      </c>
      <c r="D19" s="552">
        <v>240</v>
      </c>
      <c r="E19" s="552">
        <v>500</v>
      </c>
      <c r="F19" s="558">
        <f>D19*E19</f>
        <v>120000</v>
      </c>
    </row>
    <row r="20" spans="1:6" s="559" customFormat="1" ht="15.75" x14ac:dyDescent="0.25">
      <c r="A20" s="552"/>
      <c r="B20" s="552" t="s">
        <v>901</v>
      </c>
      <c r="C20" s="552" t="s">
        <v>11</v>
      </c>
      <c r="D20" s="552">
        <v>25.799999999999997</v>
      </c>
      <c r="E20" s="552">
        <v>1300</v>
      </c>
      <c r="F20" s="558">
        <f>D20*E20</f>
        <v>33539.999999999993</v>
      </c>
    </row>
    <row r="21" spans="1:6" s="559" customFormat="1" ht="15.75" x14ac:dyDescent="0.25">
      <c r="A21" s="552"/>
      <c r="B21" s="552" t="s">
        <v>902</v>
      </c>
      <c r="C21" s="552" t="s">
        <v>11</v>
      </c>
      <c r="D21" s="552">
        <v>9</v>
      </c>
      <c r="E21" s="552">
        <v>15000</v>
      </c>
      <c r="F21" s="558">
        <f>D21*E21</f>
        <v>135000</v>
      </c>
    </row>
    <row r="22" spans="1:6" s="559" customFormat="1" ht="15.75" x14ac:dyDescent="0.25">
      <c r="A22" s="557" t="s">
        <v>248</v>
      </c>
      <c r="B22" s="557" t="s">
        <v>903</v>
      </c>
      <c r="C22" s="552"/>
      <c r="D22" s="552"/>
      <c r="E22" s="552"/>
      <c r="F22" s="558"/>
    </row>
    <row r="23" spans="1:6" s="559" customFormat="1" ht="18" x14ac:dyDescent="0.25">
      <c r="A23" s="552"/>
      <c r="B23" s="552" t="s">
        <v>904</v>
      </c>
      <c r="C23" s="552" t="s">
        <v>891</v>
      </c>
      <c r="D23" s="552">
        <f>6*4.6*1.05</f>
        <v>28.98</v>
      </c>
      <c r="E23" s="552">
        <v>11000</v>
      </c>
      <c r="F23" s="558">
        <f>D23*E23</f>
        <v>318780</v>
      </c>
    </row>
    <row r="24" spans="1:6" s="559" customFormat="1" ht="15.75" x14ac:dyDescent="0.25">
      <c r="A24" s="557" t="s">
        <v>249</v>
      </c>
      <c r="B24" s="557" t="s">
        <v>905</v>
      </c>
      <c r="C24" s="552"/>
      <c r="D24" s="552"/>
      <c r="E24" s="552"/>
      <c r="F24" s="558"/>
    </row>
    <row r="25" spans="1:6" s="559" customFormat="1" ht="15.75" x14ac:dyDescent="0.25">
      <c r="A25" s="552"/>
      <c r="B25" s="552" t="s">
        <v>906</v>
      </c>
      <c r="C25" s="552" t="s">
        <v>14</v>
      </c>
      <c r="D25" s="552">
        <v>1</v>
      </c>
      <c r="E25" s="552">
        <v>140000</v>
      </c>
      <c r="F25" s="558">
        <f>D25*E25</f>
        <v>140000</v>
      </c>
    </row>
    <row r="26" spans="1:6" s="559" customFormat="1" ht="15.75" x14ac:dyDescent="0.25">
      <c r="A26" s="552"/>
      <c r="B26" s="552" t="s">
        <v>907</v>
      </c>
      <c r="C26" s="552" t="s">
        <v>14</v>
      </c>
      <c r="D26" s="552">
        <v>1</v>
      </c>
      <c r="E26" s="552">
        <v>90000</v>
      </c>
      <c r="F26" s="558">
        <f>D26*E26</f>
        <v>90000</v>
      </c>
    </row>
    <row r="27" spans="1:6" s="559" customFormat="1" ht="15.75" x14ac:dyDescent="0.25">
      <c r="A27" s="552"/>
      <c r="B27" s="552" t="s">
        <v>908</v>
      </c>
      <c r="C27" s="552" t="s">
        <v>14</v>
      </c>
      <c r="D27" s="552">
        <v>2</v>
      </c>
      <c r="E27" s="552">
        <v>80000</v>
      </c>
      <c r="F27" s="558">
        <f>D27*E27</f>
        <v>160000</v>
      </c>
    </row>
    <row r="28" spans="1:6" s="559" customFormat="1" ht="15.75" x14ac:dyDescent="0.25">
      <c r="A28" s="557" t="s">
        <v>250</v>
      </c>
      <c r="B28" s="557" t="s">
        <v>909</v>
      </c>
      <c r="C28" s="552"/>
      <c r="D28" s="552"/>
      <c r="E28" s="552"/>
      <c r="F28" s="558"/>
    </row>
    <row r="29" spans="1:6" s="559" customFormat="1" ht="18" x14ac:dyDescent="0.25">
      <c r="A29" s="552"/>
      <c r="B29" s="552" t="s">
        <v>910</v>
      </c>
      <c r="C29" s="552" t="s">
        <v>891</v>
      </c>
      <c r="D29" s="552">
        <f>((4.2*3.6)-D10*0.2)*1.05</f>
        <v>14.967540000000001</v>
      </c>
      <c r="E29" s="552">
        <v>9000</v>
      </c>
      <c r="F29" s="558">
        <f>D29*E29</f>
        <v>134707.86000000002</v>
      </c>
    </row>
    <row r="30" spans="1:6" s="559" customFormat="1" ht="18" x14ac:dyDescent="0.25">
      <c r="A30" s="552"/>
      <c r="B30" s="552" t="s">
        <v>911</v>
      </c>
      <c r="C30" s="552" t="s">
        <v>891</v>
      </c>
      <c r="D30" s="552">
        <f>(4.2+3.6)*2*0.8*1.05</f>
        <v>13.104000000000003</v>
      </c>
      <c r="E30" s="552">
        <v>10000</v>
      </c>
      <c r="F30" s="558">
        <f>D30*E30</f>
        <v>131040.00000000003</v>
      </c>
    </row>
    <row r="31" spans="1:6" s="559" customFormat="1" ht="15.75" x14ac:dyDescent="0.25">
      <c r="A31" s="557" t="s">
        <v>251</v>
      </c>
      <c r="B31" s="557" t="s">
        <v>912</v>
      </c>
      <c r="C31" s="552"/>
      <c r="D31" s="552"/>
      <c r="E31" s="552"/>
      <c r="F31" s="558"/>
    </row>
    <row r="32" spans="1:6" s="559" customFormat="1" ht="18" x14ac:dyDescent="0.25">
      <c r="A32" s="552"/>
      <c r="B32" s="552" t="s">
        <v>913</v>
      </c>
      <c r="C32" s="552" t="s">
        <v>891</v>
      </c>
      <c r="D32" s="552">
        <f>(1.8+1.5)*2*2.8*2*1.05</f>
        <v>38.807999999999993</v>
      </c>
      <c r="E32" s="552">
        <v>5000</v>
      </c>
      <c r="F32" s="558">
        <f>D32*E32</f>
        <v>194039.99999999997</v>
      </c>
    </row>
    <row r="33" spans="1:41" s="559" customFormat="1" ht="15.75" x14ac:dyDescent="0.25">
      <c r="A33" s="552"/>
      <c r="B33" s="552" t="s">
        <v>914</v>
      </c>
      <c r="C33" s="552" t="s">
        <v>11</v>
      </c>
      <c r="D33" s="552">
        <v>8.652000000000001</v>
      </c>
      <c r="E33" s="552">
        <v>3000</v>
      </c>
      <c r="F33" s="558">
        <f>D33*E33</f>
        <v>25956.000000000004</v>
      </c>
    </row>
    <row r="34" spans="1:41" s="559" customFormat="1" ht="18" x14ac:dyDescent="0.25">
      <c r="A34" s="557" t="s">
        <v>252</v>
      </c>
      <c r="B34" s="557" t="s">
        <v>915</v>
      </c>
      <c r="C34" s="552" t="s">
        <v>891</v>
      </c>
      <c r="D34" s="552">
        <f>3.2*2*1.05</f>
        <v>6.7200000000000006</v>
      </c>
      <c r="E34" s="552">
        <v>7000</v>
      </c>
      <c r="F34" s="558">
        <f>D34*E34</f>
        <v>47040.000000000007</v>
      </c>
    </row>
    <row r="35" spans="1:41" s="559" customFormat="1" ht="15.75" x14ac:dyDescent="0.25">
      <c r="A35" s="557" t="s">
        <v>253</v>
      </c>
      <c r="B35" s="557" t="s">
        <v>916</v>
      </c>
      <c r="C35" s="552" t="s">
        <v>11</v>
      </c>
      <c r="D35" s="552">
        <v>4.2</v>
      </c>
      <c r="E35" s="552">
        <v>3500</v>
      </c>
      <c r="F35" s="558">
        <f>D35*E35</f>
        <v>14700</v>
      </c>
    </row>
    <row r="36" spans="1:41" s="559" customFormat="1" ht="15.75" x14ac:dyDescent="0.25">
      <c r="A36" s="557" t="s">
        <v>254</v>
      </c>
      <c r="B36" s="557" t="s">
        <v>917</v>
      </c>
      <c r="C36" s="552"/>
      <c r="D36" s="552"/>
      <c r="E36" s="552"/>
      <c r="F36" s="558"/>
    </row>
    <row r="37" spans="1:41" s="559" customFormat="1" ht="18" x14ac:dyDescent="0.25">
      <c r="A37" s="552"/>
      <c r="B37" s="552" t="s">
        <v>918</v>
      </c>
      <c r="C37" s="552" t="s">
        <v>891</v>
      </c>
      <c r="D37" s="552">
        <f>D32</f>
        <v>38.807999999999993</v>
      </c>
      <c r="E37" s="552">
        <v>3500</v>
      </c>
      <c r="F37" s="558">
        <f t="shared" ref="F37:F42" si="0">D37*E37</f>
        <v>135827.99999999997</v>
      </c>
    </row>
    <row r="38" spans="1:41" s="559" customFormat="1" ht="18" x14ac:dyDescent="0.25">
      <c r="A38" s="552"/>
      <c r="B38" s="552" t="s">
        <v>919</v>
      </c>
      <c r="C38" s="552" t="s">
        <v>891</v>
      </c>
      <c r="D38" s="552">
        <f>D20*2*0.2+(D25)*(2.1*0.9)+D27*(1.2*1)</f>
        <v>14.610000000000001</v>
      </c>
      <c r="E38" s="552">
        <v>5000</v>
      </c>
      <c r="F38" s="558">
        <f t="shared" si="0"/>
        <v>73050</v>
      </c>
    </row>
    <row r="39" spans="1:41" s="559" customFormat="1" ht="18" x14ac:dyDescent="0.25">
      <c r="A39" s="552"/>
      <c r="B39" s="552" t="s">
        <v>920</v>
      </c>
      <c r="C39" s="552" t="s">
        <v>891</v>
      </c>
      <c r="D39" s="552">
        <f>D26*(2.1*0.9)+D35*0.2</f>
        <v>2.7300000000000004</v>
      </c>
      <c r="E39" s="552">
        <v>6000</v>
      </c>
      <c r="F39" s="558">
        <f t="shared" si="0"/>
        <v>16380.000000000002</v>
      </c>
    </row>
    <row r="40" spans="1:41" s="559" customFormat="1" ht="18" x14ac:dyDescent="0.25">
      <c r="A40" s="552"/>
      <c r="B40" s="552" t="s">
        <v>921</v>
      </c>
      <c r="C40" s="552" t="s">
        <v>891</v>
      </c>
      <c r="D40" s="552">
        <f>D34</f>
        <v>6.7200000000000006</v>
      </c>
      <c r="E40" s="552">
        <v>6000</v>
      </c>
      <c r="F40" s="558">
        <f t="shared" si="0"/>
        <v>40320.000000000007</v>
      </c>
    </row>
    <row r="41" spans="1:41" s="559" customFormat="1" ht="49.5" x14ac:dyDescent="0.25">
      <c r="A41" s="552" t="s">
        <v>922</v>
      </c>
      <c r="B41" s="552" t="s">
        <v>923</v>
      </c>
      <c r="C41" s="552" t="s">
        <v>133</v>
      </c>
      <c r="D41" s="552">
        <v>1</v>
      </c>
      <c r="E41" s="552">
        <v>50000</v>
      </c>
      <c r="F41" s="558">
        <f t="shared" si="0"/>
        <v>50000</v>
      </c>
    </row>
    <row r="42" spans="1:41" s="559" customFormat="1" ht="38.25" x14ac:dyDescent="0.25">
      <c r="A42" s="552" t="s">
        <v>924</v>
      </c>
      <c r="B42" s="552" t="s">
        <v>925</v>
      </c>
      <c r="C42" s="552" t="s">
        <v>133</v>
      </c>
      <c r="D42" s="552">
        <v>1</v>
      </c>
      <c r="E42" s="552">
        <v>600000</v>
      </c>
      <c r="F42" s="558">
        <f t="shared" si="0"/>
        <v>600000</v>
      </c>
    </row>
    <row r="43" spans="1:41" s="1" customFormat="1" ht="15.75" x14ac:dyDescent="0.25">
      <c r="A43" s="352"/>
      <c r="B43" s="353" t="s">
        <v>926</v>
      </c>
      <c r="C43" s="354"/>
      <c r="D43" s="364"/>
      <c r="E43" s="365"/>
      <c r="F43" s="357">
        <f>SUM(F4:F42)</f>
        <v>3894920.66</v>
      </c>
    </row>
    <row r="44" spans="1:41" s="36" customFormat="1" ht="15.75" x14ac:dyDescent="0.25">
      <c r="A44" s="358"/>
      <c r="B44" s="359" t="s">
        <v>927</v>
      </c>
      <c r="C44" s="360"/>
      <c r="D44" s="361" t="s">
        <v>642</v>
      </c>
      <c r="E44" s="362">
        <v>1</v>
      </c>
      <c r="F44" s="363">
        <f>F43*E44</f>
        <v>3894920.66</v>
      </c>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s="36" customFormat="1" ht="15.75" x14ac:dyDescent="0.25">
      <c r="A45" s="130"/>
      <c r="B45" s="96" t="s">
        <v>928</v>
      </c>
      <c r="C45" s="97"/>
      <c r="D45" s="319"/>
      <c r="E45" s="350"/>
      <c r="F45" s="131">
        <f>+F44</f>
        <v>3894920.66</v>
      </c>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O18"/>
  <sheetViews>
    <sheetView workbookViewId="0">
      <selection activeCell="B30" sqref="B30"/>
    </sheetView>
  </sheetViews>
  <sheetFormatPr defaultColWidth="8.85546875" defaultRowHeight="15" x14ac:dyDescent="0.25"/>
  <cols>
    <col min="1" max="1" width="9.85546875" customWidth="1"/>
    <col min="2" max="2" width="135.28515625" bestFit="1" customWidth="1"/>
    <col min="3" max="3" width="16" style="512" customWidth="1"/>
    <col min="4" max="4" width="10.140625" customWidth="1"/>
    <col min="5" max="5" width="15.42578125" customWidth="1"/>
    <col min="6" max="6" width="27.85546875" bestFit="1" customWidth="1"/>
  </cols>
  <sheetData>
    <row r="3" spans="1:7" s="559" customFormat="1" ht="16.5" x14ac:dyDescent="0.25">
      <c r="A3" s="351" t="s">
        <v>931</v>
      </c>
      <c r="B3" s="557" t="s">
        <v>932</v>
      </c>
      <c r="C3" s="560"/>
      <c r="D3" s="552"/>
      <c r="E3" s="552"/>
      <c r="F3" s="558"/>
    </row>
    <row r="4" spans="1:7" ht="15.75" x14ac:dyDescent="0.25">
      <c r="A4" s="343" t="s">
        <v>933</v>
      </c>
      <c r="B4" s="347" t="s">
        <v>626</v>
      </c>
      <c r="C4" s="561" t="s">
        <v>627</v>
      </c>
      <c r="D4" s="337">
        <v>4</v>
      </c>
      <c r="E4" s="338">
        <v>2500</v>
      </c>
      <c r="F4" s="338">
        <f t="shared" ref="F4" si="0">+D4*E4</f>
        <v>10000</v>
      </c>
      <c r="G4" s="334"/>
    </row>
    <row r="5" spans="1:7" s="559" customFormat="1" ht="15.75" x14ac:dyDescent="0.25">
      <c r="A5" s="343"/>
      <c r="B5" s="552" t="s">
        <v>912</v>
      </c>
      <c r="C5" s="560"/>
      <c r="D5" s="552"/>
      <c r="E5" s="552"/>
      <c r="F5" s="558"/>
    </row>
    <row r="6" spans="1:7" s="559" customFormat="1" ht="18" x14ac:dyDescent="0.25">
      <c r="A6" s="343" t="s">
        <v>934</v>
      </c>
      <c r="B6" s="552" t="s">
        <v>913</v>
      </c>
      <c r="C6" s="560" t="s">
        <v>891</v>
      </c>
      <c r="D6" s="552">
        <f>(1.8+1.5)*2*2.8*2*1.05</f>
        <v>38.807999999999993</v>
      </c>
      <c r="E6" s="552">
        <v>5000</v>
      </c>
      <c r="F6" s="558">
        <f>D6*E6</f>
        <v>194039.99999999997</v>
      </c>
    </row>
    <row r="7" spans="1:7" s="559" customFormat="1" ht="15.75" x14ac:dyDescent="0.25">
      <c r="A7" s="343" t="s">
        <v>935</v>
      </c>
      <c r="B7" s="552" t="s">
        <v>914</v>
      </c>
      <c r="C7" s="560" t="s">
        <v>11</v>
      </c>
      <c r="D7" s="552">
        <v>8.652000000000001</v>
      </c>
      <c r="E7" s="552">
        <v>3000</v>
      </c>
      <c r="F7" s="558">
        <f>D7*E7</f>
        <v>25956.000000000004</v>
      </c>
    </row>
    <row r="8" spans="1:7" s="559" customFormat="1" ht="18" x14ac:dyDescent="0.25">
      <c r="A8" s="343" t="s">
        <v>936</v>
      </c>
      <c r="B8" s="552" t="s">
        <v>915</v>
      </c>
      <c r="C8" s="560" t="s">
        <v>891</v>
      </c>
      <c r="D8" s="552">
        <f>3.2*2*1.05</f>
        <v>6.7200000000000006</v>
      </c>
      <c r="E8" s="552">
        <v>7000</v>
      </c>
      <c r="F8" s="558">
        <f>D8*E8</f>
        <v>47040.000000000007</v>
      </c>
    </row>
    <row r="9" spans="1:7" s="559" customFormat="1" ht="15.75" x14ac:dyDescent="0.25">
      <c r="A9" s="343" t="s">
        <v>937</v>
      </c>
      <c r="B9" s="552" t="s">
        <v>916</v>
      </c>
      <c r="C9" s="560" t="s">
        <v>11</v>
      </c>
      <c r="D9" s="552">
        <v>4.2</v>
      </c>
      <c r="E9" s="552">
        <v>3500</v>
      </c>
      <c r="F9" s="558">
        <f>D9*E9</f>
        <v>14700</v>
      </c>
    </row>
    <row r="10" spans="1:7" s="559" customFormat="1" ht="15.75" x14ac:dyDescent="0.25">
      <c r="A10" s="343"/>
      <c r="B10" s="552" t="s">
        <v>917</v>
      </c>
      <c r="C10" s="560"/>
      <c r="D10" s="552"/>
      <c r="E10" s="552"/>
      <c r="F10" s="558"/>
    </row>
    <row r="11" spans="1:7" s="559" customFormat="1" ht="18" x14ac:dyDescent="0.25">
      <c r="A11" s="343" t="s">
        <v>938</v>
      </c>
      <c r="B11" s="552" t="s">
        <v>918</v>
      </c>
      <c r="C11" s="560" t="s">
        <v>891</v>
      </c>
      <c r="D11" s="552">
        <f>D6</f>
        <v>38.807999999999993</v>
      </c>
      <c r="E11" s="552">
        <v>3500</v>
      </c>
      <c r="F11" s="558">
        <f t="shared" ref="F11:F16" si="1">D11*E11</f>
        <v>135827.99999999997</v>
      </c>
    </row>
    <row r="12" spans="1:7" s="559" customFormat="1" ht="18" x14ac:dyDescent="0.25">
      <c r="A12" s="343" t="s">
        <v>939</v>
      </c>
      <c r="B12" s="552" t="s">
        <v>919</v>
      </c>
      <c r="C12" s="560" t="s">
        <v>891</v>
      </c>
      <c r="D12" s="552">
        <v>5000</v>
      </c>
      <c r="E12" s="552">
        <v>5000</v>
      </c>
      <c r="F12" s="558">
        <f t="shared" si="1"/>
        <v>25000000</v>
      </c>
    </row>
    <row r="13" spans="1:7" s="559" customFormat="1" ht="18" x14ac:dyDescent="0.25">
      <c r="A13" s="343" t="s">
        <v>940</v>
      </c>
      <c r="B13" s="552" t="s">
        <v>920</v>
      </c>
      <c r="C13" s="560" t="s">
        <v>891</v>
      </c>
      <c r="D13" s="552">
        <v>6000</v>
      </c>
      <c r="E13" s="552">
        <v>6000</v>
      </c>
      <c r="F13" s="558">
        <f t="shared" si="1"/>
        <v>36000000</v>
      </c>
    </row>
    <row r="14" spans="1:7" s="559" customFormat="1" ht="18" x14ac:dyDescent="0.25">
      <c r="A14" s="343" t="s">
        <v>941</v>
      </c>
      <c r="B14" s="552" t="s">
        <v>921</v>
      </c>
      <c r="C14" s="560" t="s">
        <v>891</v>
      </c>
      <c r="D14" s="552">
        <f>D8</f>
        <v>6.7200000000000006</v>
      </c>
      <c r="E14" s="552">
        <v>6000</v>
      </c>
      <c r="F14" s="558">
        <f t="shared" si="1"/>
        <v>40320.000000000007</v>
      </c>
    </row>
    <row r="15" spans="1:7" s="559" customFormat="1" ht="18" x14ac:dyDescent="0.25">
      <c r="A15" s="343" t="s">
        <v>942</v>
      </c>
      <c r="B15" s="552" t="s">
        <v>923</v>
      </c>
      <c r="C15" s="560" t="s">
        <v>133</v>
      </c>
      <c r="D15" s="552">
        <v>1</v>
      </c>
      <c r="E15" s="552">
        <v>50000</v>
      </c>
      <c r="F15" s="558">
        <f t="shared" si="1"/>
        <v>50000</v>
      </c>
    </row>
    <row r="16" spans="1:7" s="559" customFormat="1" ht="25.5" x14ac:dyDescent="0.25">
      <c r="A16" s="343" t="s">
        <v>943</v>
      </c>
      <c r="B16" s="552" t="s">
        <v>925</v>
      </c>
      <c r="C16" s="560" t="s">
        <v>133</v>
      </c>
      <c r="D16" s="552">
        <v>1</v>
      </c>
      <c r="E16" s="552">
        <v>600000</v>
      </c>
      <c r="F16" s="558">
        <f t="shared" si="1"/>
        <v>600000</v>
      </c>
    </row>
    <row r="17" spans="1:41" s="1" customFormat="1" ht="15.75" x14ac:dyDescent="0.25">
      <c r="A17" s="352"/>
      <c r="B17" s="353" t="s">
        <v>926</v>
      </c>
      <c r="C17" s="354"/>
      <c r="D17" s="364"/>
      <c r="E17" s="365"/>
      <c r="F17" s="357">
        <f>SUM(F5:F16)</f>
        <v>62107884</v>
      </c>
    </row>
    <row r="18" spans="1:41" s="36" customFormat="1" ht="15.75" x14ac:dyDescent="0.25">
      <c r="A18" s="358"/>
      <c r="B18" s="359" t="s">
        <v>944</v>
      </c>
      <c r="C18" s="360"/>
      <c r="D18" s="361" t="s">
        <v>642</v>
      </c>
      <c r="E18" s="362">
        <v>6</v>
      </c>
      <c r="F18" s="363">
        <f>F17*E18</f>
        <v>372647304</v>
      </c>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sheetData>
  <phoneticPr fontId="4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BOQ</vt:lpstr>
      <vt:lpstr>BOQ KANEMBWE_ALL PHASES</vt:lpstr>
      <vt:lpstr>Sources</vt:lpstr>
      <vt:lpstr>SUMMARY</vt:lpstr>
      <vt:lpstr>CASING</vt:lpstr>
      <vt:lpstr>rehabilitation</vt:lpstr>
      <vt:lpstr>COLLECTION&amp;STARTING</vt:lpstr>
      <vt:lpstr>WATER KIOSK</vt:lpstr>
      <vt:lpstr>BFK_REHABILITATION</vt:lpstr>
      <vt:lpstr>25m3-constr-BOQ</vt:lpstr>
      <vt:lpstr>50m3-constr-BOQ</vt:lpstr>
      <vt:lpstr>100m3-constr</vt:lpstr>
      <vt:lpstr>125m3-constr-BOQ</vt:lpstr>
      <vt:lpstr>200m3-constr-BOQ</vt:lpstr>
      <vt:lpstr>400m3-constr-BOQ</vt:lpstr>
      <vt:lpstr>500m3-constr-BOQ</vt:lpstr>
      <vt:lpstr>PUMPING STATION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dc:creator>
  <cp:lastModifiedBy>user</cp:lastModifiedBy>
  <cp:lastPrinted>2013-07-22T14:33:38Z</cp:lastPrinted>
  <dcterms:created xsi:type="dcterms:W3CDTF">2012-11-27T07:38:30Z</dcterms:created>
  <dcterms:modified xsi:type="dcterms:W3CDTF">2025-09-11T17:59:20Z</dcterms:modified>
</cp:coreProperties>
</file>